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26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b)'!$A$69</definedName>
    <definedName name="GASTO_E_FIN">'Formato 6 b)'!$A$128</definedName>
    <definedName name="GASTO_E_FIN_01">'Formato 6 b)'!$B$128</definedName>
    <definedName name="GASTO_E_FIN_02">'Formato 6 b)'!$C$128</definedName>
    <definedName name="GASTO_E_FIN_03">'Formato 6 b)'!$D$128</definedName>
    <definedName name="GASTO_E_FIN_04">'Formato 6 b)'!$E$128</definedName>
    <definedName name="GASTO_E_FIN_05">'Formato 6 b)'!$F$128</definedName>
    <definedName name="GASTO_E_FIN_06">'Formato 6 b)'!$G$128</definedName>
    <definedName name="GASTO_E_T1">'Formato 6 b)'!$B$69</definedName>
    <definedName name="GASTO_E_T2">'Formato 6 b)'!$C$69</definedName>
    <definedName name="GASTO_E_T3">'Formato 6 b)'!$D$69</definedName>
    <definedName name="GASTO_E_T4">'Formato 6 b)'!$E$69</definedName>
    <definedName name="GASTO_E_T5">'Formato 6 b)'!$F$69</definedName>
    <definedName name="GASTO_E_T6">'Formato 6 b)'!$G$69</definedName>
    <definedName name="GASTO_NE">'Formato 6 b)'!$A$9</definedName>
    <definedName name="GASTO_NE_FIN">'Formato 6 b)'!$A$68</definedName>
    <definedName name="GASTO_NE_FIN_01">'Formato 6 b)'!$B$68</definedName>
    <definedName name="GASTO_NE_FIN_02">'Formato 6 b)'!$C$68</definedName>
    <definedName name="GASTO_NE_FIN_03">'Formato 6 b)'!$D$68</definedName>
    <definedName name="GASTO_NE_FIN_04">'Formato 6 b)'!$E$68</definedName>
    <definedName name="GASTO_NE_FIN_05">'Formato 6 b)'!$F$68</definedName>
    <definedName name="GASTO_NE_FIN_06">'Formato 6 b)'!$G$68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b)'!$B$129</definedName>
    <definedName name="TOTAL_E_T2">'Formato 6 b)'!$C$129</definedName>
    <definedName name="TOTAL_E_T3">'Formato 6 b)'!$D$129</definedName>
    <definedName name="TOTAL_E_T4">'Formato 6 b)'!$E$129</definedName>
    <definedName name="TOTAL_E_T5">'Formato 6 b)'!$F$129</definedName>
    <definedName name="TOTAL_E_T6">'Formato 6 b)'!$G$129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1" l="1"/>
  <c r="G26" i="11"/>
  <c r="G10" i="11"/>
  <c r="G11" i="11"/>
  <c r="G12" i="11"/>
  <c r="G13" i="11"/>
  <c r="G15" i="11"/>
  <c r="G9" i="11"/>
  <c r="B9" i="1"/>
  <c r="B17" i="1"/>
  <c r="B25" i="1"/>
  <c r="B31" i="1"/>
  <c r="B38" i="1"/>
  <c r="B41" i="1"/>
  <c r="B47" i="1"/>
  <c r="F42" i="1"/>
  <c r="F38" i="1"/>
  <c r="F31" i="1"/>
  <c r="F27" i="1"/>
  <c r="F23" i="1"/>
  <c r="F19" i="1"/>
  <c r="C9" i="1"/>
  <c r="C17" i="1"/>
  <c r="C25" i="1"/>
  <c r="C31" i="1"/>
  <c r="C38" i="1"/>
  <c r="C41" i="1"/>
  <c r="C47" i="1"/>
  <c r="G63" i="5"/>
  <c r="G62" i="5"/>
  <c r="D62" i="5"/>
  <c r="G61" i="5"/>
  <c r="G60" i="5"/>
  <c r="G59" i="5"/>
  <c r="F59" i="5"/>
  <c r="E59" i="5"/>
  <c r="D59" i="5"/>
  <c r="C59" i="5"/>
  <c r="G58" i="5"/>
  <c r="G57" i="5"/>
  <c r="G56" i="5"/>
  <c r="G55" i="5"/>
  <c r="G54" i="5"/>
  <c r="F54" i="5"/>
  <c r="E54" i="5"/>
  <c r="D54" i="5"/>
  <c r="C54" i="5"/>
  <c r="G53" i="5"/>
  <c r="G52" i="5"/>
  <c r="G51" i="5"/>
  <c r="G50" i="5"/>
  <c r="G49" i="5"/>
  <c r="G48" i="5"/>
  <c r="G46" i="5"/>
  <c r="G47" i="5"/>
  <c r="G45" i="5"/>
  <c r="F45" i="5"/>
  <c r="E45" i="5"/>
  <c r="D45" i="5"/>
  <c r="C45" i="5"/>
  <c r="G39" i="5"/>
  <c r="G38" i="5"/>
  <c r="G37" i="5"/>
  <c r="F37" i="5"/>
  <c r="D37" i="5"/>
  <c r="G36" i="5"/>
  <c r="G35" i="5"/>
  <c r="F35" i="5"/>
  <c r="G34" i="5"/>
  <c r="G33" i="5"/>
  <c r="G32" i="5"/>
  <c r="G31" i="5"/>
  <c r="G29" i="5"/>
  <c r="G30" i="5"/>
  <c r="G28" i="5"/>
  <c r="F28" i="5"/>
  <c r="E28" i="5"/>
  <c r="D28" i="5"/>
  <c r="G27" i="5"/>
  <c r="G26" i="5"/>
  <c r="G25" i="5"/>
  <c r="G24" i="5"/>
  <c r="G23" i="5"/>
  <c r="G22" i="5"/>
  <c r="G21" i="5"/>
  <c r="G20" i="5"/>
  <c r="G19" i="5"/>
  <c r="G18" i="5"/>
  <c r="G17" i="5"/>
  <c r="G16" i="5"/>
  <c r="F16" i="5"/>
  <c r="E16" i="5"/>
  <c r="D16" i="5"/>
  <c r="G15" i="5"/>
  <c r="D15" i="5"/>
  <c r="G14" i="5"/>
  <c r="G13" i="5"/>
  <c r="D13" i="5"/>
  <c r="G12" i="5"/>
  <c r="G11" i="5"/>
  <c r="D11" i="5"/>
  <c r="G10" i="5"/>
  <c r="G9" i="5"/>
  <c r="C37" i="5"/>
  <c r="C28" i="5"/>
  <c r="C16" i="5"/>
  <c r="B59" i="5"/>
  <c r="B54" i="5"/>
  <c r="B45" i="5"/>
  <c r="B37" i="5"/>
  <c r="B28" i="5"/>
  <c r="B16" i="5"/>
  <c r="B28" i="9"/>
  <c r="G79" i="7"/>
  <c r="G78" i="7"/>
  <c r="G77" i="7"/>
  <c r="G76" i="7"/>
  <c r="G75" i="7"/>
  <c r="G74" i="7"/>
  <c r="G73" i="7"/>
  <c r="G72" i="7"/>
  <c r="G89" i="7"/>
  <c r="G88" i="7"/>
  <c r="G87" i="7"/>
  <c r="G86" i="7"/>
  <c r="G85" i="7"/>
  <c r="G84" i="7"/>
  <c r="G83" i="7"/>
  <c r="G82" i="7"/>
  <c r="G81" i="7"/>
  <c r="G80" i="7"/>
  <c r="G99" i="7"/>
  <c r="G98" i="7"/>
  <c r="G97" i="7"/>
  <c r="G96" i="7"/>
  <c r="G95" i="7"/>
  <c r="G94" i="7"/>
  <c r="G93" i="7"/>
  <c r="G92" i="7"/>
  <c r="G91" i="7"/>
  <c r="G90" i="7"/>
  <c r="G109" i="7"/>
  <c r="G108" i="7"/>
  <c r="G107" i="7"/>
  <c r="G106" i="7"/>
  <c r="G105" i="7"/>
  <c r="G104" i="7"/>
  <c r="G103" i="7"/>
  <c r="G102" i="7"/>
  <c r="G101" i="7"/>
  <c r="G100" i="7"/>
  <c r="G117" i="7"/>
  <c r="G116" i="7"/>
  <c r="G115" i="7"/>
  <c r="G114" i="7"/>
  <c r="G113" i="7"/>
  <c r="G112" i="7"/>
  <c r="G111" i="7"/>
  <c r="G122" i="7"/>
  <c r="G121" i="7"/>
  <c r="G120" i="7"/>
  <c r="G119" i="7"/>
  <c r="G118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20" i="7"/>
  <c r="G19" i="7"/>
  <c r="G18" i="7"/>
  <c r="G17" i="7"/>
  <c r="G16" i="7"/>
  <c r="G15" i="7"/>
  <c r="G14" i="7"/>
  <c r="G13" i="7"/>
  <c r="G12" i="7"/>
  <c r="G11" i="7"/>
  <c r="G30" i="7"/>
  <c r="G29" i="7"/>
  <c r="G28" i="7"/>
  <c r="G27" i="7"/>
  <c r="G26" i="7"/>
  <c r="G25" i="7"/>
  <c r="G24" i="7"/>
  <c r="G23" i="7"/>
  <c r="G22" i="7"/>
  <c r="G21" i="7"/>
  <c r="G55" i="7"/>
  <c r="G54" i="7"/>
  <c r="G53" i="7"/>
  <c r="G52" i="7"/>
  <c r="G51" i="7"/>
  <c r="G50" i="7"/>
  <c r="G49" i="7"/>
  <c r="G48" i="7"/>
  <c r="G47" i="7"/>
  <c r="G46" i="7"/>
  <c r="G60" i="7"/>
  <c r="G59" i="7"/>
  <c r="G58" i="7"/>
  <c r="G57" i="7"/>
  <c r="G56" i="7"/>
  <c r="C137" i="6"/>
  <c r="D137" i="6"/>
  <c r="E137" i="6"/>
  <c r="F137" i="6"/>
  <c r="B137" i="6"/>
  <c r="C62" i="6"/>
  <c r="D62" i="6"/>
  <c r="E62" i="6"/>
  <c r="F62" i="6"/>
  <c r="B62" i="6"/>
  <c r="B8" i="10"/>
  <c r="C6" i="23"/>
  <c r="C7" i="23"/>
  <c r="H25" i="23"/>
  <c r="G25" i="23"/>
  <c r="F25" i="23"/>
  <c r="D5" i="13"/>
  <c r="E25" i="23"/>
  <c r="C5" i="1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U46" i="26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27" i="8"/>
  <c r="G37" i="8"/>
  <c r="G71" i="7"/>
  <c r="G110" i="7"/>
  <c r="G123" i="7"/>
  <c r="G124" i="7"/>
  <c r="G125" i="7"/>
  <c r="G126" i="7"/>
  <c r="G127" i="7"/>
  <c r="G70" i="7"/>
  <c r="G61" i="7"/>
  <c r="G62" i="7"/>
  <c r="G63" i="7"/>
  <c r="G64" i="7"/>
  <c r="G65" i="7"/>
  <c r="G66" i="7"/>
  <c r="G6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39" i="6"/>
  <c r="G140" i="6"/>
  <c r="G141" i="6"/>
  <c r="G142" i="6"/>
  <c r="G143" i="6"/>
  <c r="G144" i="6"/>
  <c r="G145" i="6"/>
  <c r="G138" i="6"/>
  <c r="G137" i="6"/>
  <c r="U129" i="24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U86" i="24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4" i="6"/>
  <c r="G65" i="6"/>
  <c r="G66" i="6"/>
  <c r="G67" i="6"/>
  <c r="G68" i="6"/>
  <c r="G69" i="6"/>
  <c r="G70" i="6"/>
  <c r="G63" i="6"/>
  <c r="G62" i="6"/>
  <c r="U55" i="24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19" i="6"/>
  <c r="G22" i="6"/>
  <c r="G23" i="6"/>
  <c r="G24" i="6"/>
  <c r="G25" i="6"/>
  <c r="G26" i="6"/>
  <c r="G27" i="6"/>
  <c r="G18" i="6"/>
  <c r="U11" i="24"/>
  <c r="G11" i="6"/>
  <c r="B7" i="13"/>
  <c r="G12" i="6"/>
  <c r="G13" i="6"/>
  <c r="G14" i="6"/>
  <c r="G15" i="6"/>
  <c r="G16" i="6"/>
  <c r="G17" i="6"/>
  <c r="G10" i="6"/>
  <c r="U8" i="20"/>
  <c r="U22" i="20"/>
  <c r="U28" i="20"/>
  <c r="U29" i="20"/>
  <c r="U31" i="20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D7" i="12"/>
  <c r="E7" i="12"/>
  <c r="F7" i="12"/>
  <c r="F31" i="12"/>
  <c r="T23" i="30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D32" i="10"/>
  <c r="R23" i="28"/>
  <c r="F32" i="10"/>
  <c r="T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E12" i="9"/>
  <c r="E16" i="9"/>
  <c r="E9" i="9"/>
  <c r="S2" i="27"/>
  <c r="F12" i="9"/>
  <c r="F16" i="9"/>
  <c r="F9" i="9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P16" i="27"/>
  <c r="B21" i="9"/>
  <c r="P13" i="27"/>
  <c r="P14" i="27"/>
  <c r="P15" i="27"/>
  <c r="P17" i="27"/>
  <c r="P18" i="27"/>
  <c r="P19" i="27"/>
  <c r="P20" i="27"/>
  <c r="P21" i="27"/>
  <c r="P22" i="27"/>
  <c r="P23" i="27"/>
  <c r="B9" i="9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E10" i="8"/>
  <c r="E19" i="8"/>
  <c r="E27" i="8"/>
  <c r="E37" i="8"/>
  <c r="S30" i="26"/>
  <c r="F10" i="8"/>
  <c r="F19" i="8"/>
  <c r="F27" i="8"/>
  <c r="F37" i="8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D44" i="8"/>
  <c r="D53" i="8"/>
  <c r="D61" i="8"/>
  <c r="D71" i="8"/>
  <c r="D43" i="8"/>
  <c r="R35" i="26"/>
  <c r="E44" i="8"/>
  <c r="E53" i="8"/>
  <c r="E61" i="8"/>
  <c r="E71" i="8"/>
  <c r="F44" i="8"/>
  <c r="F53" i="8"/>
  <c r="F61" i="8"/>
  <c r="F71" i="8"/>
  <c r="F43" i="8"/>
  <c r="T35" i="26"/>
  <c r="G44" i="8"/>
  <c r="G53" i="8"/>
  <c r="G61" i="8"/>
  <c r="Q36" i="26"/>
  <c r="R36" i="26"/>
  <c r="S36" i="26"/>
  <c r="T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/>
  <c r="B53" i="8"/>
  <c r="B61" i="8"/>
  <c r="B71" i="8"/>
  <c r="B43" i="8"/>
  <c r="P35" i="26"/>
  <c r="B10" i="8"/>
  <c r="P3" i="26"/>
  <c r="B19" i="8"/>
  <c r="B27" i="8"/>
  <c r="B37" i="8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69" i="7"/>
  <c r="U3" i="25" s="1"/>
  <c r="F9" i="7"/>
  <c r="F69" i="7"/>
  <c r="T3" i="25" s="1"/>
  <c r="E9" i="7"/>
  <c r="E129" i="7" s="1"/>
  <c r="S4" i="25" s="1"/>
  <c r="E69" i="7"/>
  <c r="S3" i="25" s="1"/>
  <c r="D9" i="7"/>
  <c r="D69" i="7"/>
  <c r="R3" i="25"/>
  <c r="C9" i="7"/>
  <c r="Q2" i="25" s="1"/>
  <c r="C69" i="7"/>
  <c r="Q3" i="25" s="1"/>
  <c r="B9" i="7"/>
  <c r="B69" i="7"/>
  <c r="P3" i="25" s="1"/>
  <c r="A3" i="25"/>
  <c r="A4" i="25"/>
  <c r="A2" i="25"/>
  <c r="A87" i="24"/>
  <c r="C85" i="6"/>
  <c r="C93" i="6"/>
  <c r="C103" i="6"/>
  <c r="C113" i="6"/>
  <c r="C123" i="6"/>
  <c r="C133" i="6"/>
  <c r="C146" i="6"/>
  <c r="C150" i="6"/>
  <c r="D85" i="6"/>
  <c r="R77" i="24"/>
  <c r="D93" i="6"/>
  <c r="D103" i="6"/>
  <c r="D113" i="6"/>
  <c r="D123" i="6"/>
  <c r="D133" i="6"/>
  <c r="D146" i="6"/>
  <c r="D150" i="6"/>
  <c r="E85" i="6"/>
  <c r="E93" i="6"/>
  <c r="E103" i="6"/>
  <c r="E113" i="6"/>
  <c r="E123" i="6"/>
  <c r="E133" i="6"/>
  <c r="E146" i="6"/>
  <c r="E150" i="6"/>
  <c r="F85" i="6"/>
  <c r="T77" i="24"/>
  <c r="F93" i="6"/>
  <c r="F103" i="6"/>
  <c r="F113" i="6"/>
  <c r="F123" i="6"/>
  <c r="F133" i="6"/>
  <c r="F146" i="6"/>
  <c r="F150" i="6"/>
  <c r="G85" i="6"/>
  <c r="G93" i="6"/>
  <c r="G103" i="6"/>
  <c r="G113" i="6"/>
  <c r="G123" i="6"/>
  <c r="G133" i="6"/>
  <c r="G146" i="6"/>
  <c r="G150" i="6"/>
  <c r="U142" i="24"/>
  <c r="Q77" i="24"/>
  <c r="S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D10" i="6"/>
  <c r="R3" i="24"/>
  <c r="D18" i="6"/>
  <c r="D28" i="6"/>
  <c r="D38" i="6"/>
  <c r="D48" i="6"/>
  <c r="D58" i="6"/>
  <c r="D71" i="6"/>
  <c r="D75" i="6"/>
  <c r="E10" i="6"/>
  <c r="E18" i="6"/>
  <c r="E28" i="6"/>
  <c r="E38" i="6"/>
  <c r="E48" i="6"/>
  <c r="E58" i="6"/>
  <c r="E71" i="6"/>
  <c r="E75" i="6"/>
  <c r="F10" i="6"/>
  <c r="T3" i="24"/>
  <c r="F18" i="6"/>
  <c r="F28" i="6"/>
  <c r="F38" i="6"/>
  <c r="F48" i="6"/>
  <c r="F58" i="6"/>
  <c r="F71" i="6"/>
  <c r="F75" i="6"/>
  <c r="G28" i="6"/>
  <c r="G38" i="6"/>
  <c r="G48" i="6"/>
  <c r="G58" i="6"/>
  <c r="G71" i="6"/>
  <c r="G75" i="6"/>
  <c r="B85" i="6"/>
  <c r="B93" i="6"/>
  <c r="B103" i="6"/>
  <c r="B113" i="6"/>
  <c r="B123" i="6"/>
  <c r="B133" i="6"/>
  <c r="B146" i="6"/>
  <c r="B150" i="6"/>
  <c r="P142" i="24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S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30" i="20"/>
  <c r="U32" i="20"/>
  <c r="U33" i="20"/>
  <c r="U38" i="20"/>
  <c r="U41" i="20"/>
  <c r="U42" i="20"/>
  <c r="U45" i="20"/>
  <c r="G65" i="5"/>
  <c r="U56" i="20"/>
  <c r="U39" i="20"/>
  <c r="U40" i="20"/>
  <c r="U43" i="20"/>
  <c r="U44" i="20"/>
  <c r="U46" i="20"/>
  <c r="U49" i="20"/>
  <c r="U47" i="20"/>
  <c r="U50" i="20"/>
  <c r="U51" i="20"/>
  <c r="U52" i="20"/>
  <c r="U53" i="20"/>
  <c r="U54" i="20"/>
  <c r="U55" i="20"/>
  <c r="G68" i="5"/>
  <c r="G67" i="5"/>
  <c r="U57" i="20"/>
  <c r="G73" i="5"/>
  <c r="U60" i="20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R22" i="20"/>
  <c r="S22" i="20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Q31" i="20"/>
  <c r="R31" i="20"/>
  <c r="S31" i="20"/>
  <c r="T31" i="20"/>
  <c r="Q32" i="20"/>
  <c r="R32" i="20"/>
  <c r="S32" i="20"/>
  <c r="T32" i="20"/>
  <c r="Q33" i="20"/>
  <c r="R33" i="20"/>
  <c r="S33" i="20"/>
  <c r="T33" i="20"/>
  <c r="C41" i="5"/>
  <c r="Q34" i="20"/>
  <c r="D41" i="5"/>
  <c r="D65" i="5"/>
  <c r="D67" i="5"/>
  <c r="D70" i="5"/>
  <c r="R34" i="20"/>
  <c r="E41" i="5"/>
  <c r="S34" i="20"/>
  <c r="F41" i="5"/>
  <c r="T34" i="20"/>
  <c r="Q37" i="20"/>
  <c r="R37" i="20"/>
  <c r="S37" i="20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R46" i="20"/>
  <c r="S46" i="20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Q51" i="20"/>
  <c r="R51" i="20"/>
  <c r="S51" i="20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R56" i="20"/>
  <c r="E65" i="5"/>
  <c r="S56" i="20"/>
  <c r="F65" i="5"/>
  <c r="T56" i="20"/>
  <c r="C67" i="5"/>
  <c r="Q57" i="20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F18" i="23"/>
  <c r="K6" i="3"/>
  <c r="E18" i="23"/>
  <c r="J6" i="3"/>
  <c r="D18" i="23"/>
  <c r="I6" i="3"/>
  <c r="F6" i="1"/>
  <c r="E6" i="1"/>
  <c r="B6" i="1"/>
  <c r="F5" i="13"/>
  <c r="E5" i="13"/>
  <c r="B5" i="13"/>
  <c r="E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0"/>
  <c r="D6" i="11"/>
  <c r="E23" i="23"/>
  <c r="C6" i="11"/>
  <c r="G6" i="10"/>
  <c r="F6" i="10"/>
  <c r="E6" i="10"/>
  <c r="C6" i="10"/>
  <c r="B6" i="10"/>
  <c r="G5" i="13"/>
  <c r="G5" i="12"/>
  <c r="C11" i="23"/>
  <c r="A2" i="13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Y4" i="17" s="1"/>
  <c r="J14" i="3"/>
  <c r="X4" i="17" s="1"/>
  <c r="I14" i="3"/>
  <c r="W4" i="17" s="1"/>
  <c r="I8" i="3"/>
  <c r="W3" i="17" s="1"/>
  <c r="H14" i="3"/>
  <c r="V4" i="17" s="1"/>
  <c r="G14" i="3"/>
  <c r="U4" i="17" s="1"/>
  <c r="G8" i="3"/>
  <c r="E14" i="3"/>
  <c r="K9" i="3"/>
  <c r="K10" i="3"/>
  <c r="K11" i="3"/>
  <c r="K12" i="3"/>
  <c r="K8" i="3"/>
  <c r="Y3" i="17" s="1"/>
  <c r="J8" i="3"/>
  <c r="X3" i="17" s="1"/>
  <c r="H8" i="3"/>
  <c r="V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72" i="4"/>
  <c r="B55" i="4"/>
  <c r="B53" i="4"/>
  <c r="B49" i="4"/>
  <c r="B48" i="4"/>
  <c r="B37" i="4"/>
  <c r="B44" i="4"/>
  <c r="B11" i="4"/>
  <c r="B29" i="4"/>
  <c r="P15" i="18"/>
  <c r="B17" i="4"/>
  <c r="B13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0" i="18"/>
  <c r="P21" i="18"/>
  <c r="P22" i="18"/>
  <c r="P23" i="18"/>
  <c r="P24" i="18"/>
  <c r="P19" i="18"/>
  <c r="P16" i="18"/>
  <c r="P17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E9" i="1"/>
  <c r="E19" i="1"/>
  <c r="P67" i="15"/>
  <c r="E23" i="1"/>
  <c r="E27" i="1"/>
  <c r="P76" i="15"/>
  <c r="E31" i="1"/>
  <c r="P80" i="15"/>
  <c r="E38" i="1"/>
  <c r="P87" i="15"/>
  <c r="E42" i="1"/>
  <c r="P91" i="15"/>
  <c r="E57" i="1"/>
  <c r="E63" i="1"/>
  <c r="E68" i="1"/>
  <c r="P110" i="15"/>
  <c r="E75" i="1"/>
  <c r="P117" i="15"/>
  <c r="P118" i="15"/>
  <c r="P116" i="15"/>
  <c r="P111" i="15"/>
  <c r="P112" i="15"/>
  <c r="P113" i="15"/>
  <c r="P114" i="15"/>
  <c r="P115" i="15"/>
  <c r="P107" i="15"/>
  <c r="P108" i="15"/>
  <c r="P109" i="15"/>
  <c r="P106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Q33" i="15"/>
  <c r="P33" i="15"/>
  <c r="A33" i="15"/>
  <c r="A55" i="15"/>
  <c r="Q42" i="15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F70" i="5"/>
  <c r="E70" i="5"/>
  <c r="C70" i="4"/>
  <c r="D70" i="4"/>
  <c r="C68" i="4"/>
  <c r="D68" i="4"/>
  <c r="C64" i="4"/>
  <c r="Q33" i="18"/>
  <c r="D64" i="4"/>
  <c r="C63" i="4"/>
  <c r="D63" i="4"/>
  <c r="R32" i="18"/>
  <c r="C48" i="4"/>
  <c r="C49" i="4"/>
  <c r="C53" i="4"/>
  <c r="C55" i="4"/>
  <c r="C57" i="4"/>
  <c r="C59" i="4"/>
  <c r="D55" i="4"/>
  <c r="D53" i="4"/>
  <c r="D48" i="4"/>
  <c r="R26" i="18"/>
  <c r="D49" i="4"/>
  <c r="R27" i="18"/>
  <c r="C29" i="4"/>
  <c r="Q15" i="18"/>
  <c r="D29" i="4"/>
  <c r="C40" i="4"/>
  <c r="D40" i="4"/>
  <c r="R22" i="18"/>
  <c r="C37" i="4"/>
  <c r="Q19" i="18"/>
  <c r="D37" i="4"/>
  <c r="C17" i="4"/>
  <c r="C13" i="4"/>
  <c r="D13" i="4"/>
  <c r="S4" i="17"/>
  <c r="C13" i="2"/>
  <c r="C9" i="2"/>
  <c r="C8" i="2"/>
  <c r="C20" i="2"/>
  <c r="Q13" i="16"/>
  <c r="Q8" i="16"/>
  <c r="D13" i="2"/>
  <c r="R8" i="16"/>
  <c r="E13" i="2"/>
  <c r="S8" i="16"/>
  <c r="F13" i="2"/>
  <c r="T8" i="16"/>
  <c r="G13" i="2"/>
  <c r="G9" i="2"/>
  <c r="G8" i="2"/>
  <c r="H13" i="2"/>
  <c r="V8" i="16"/>
  <c r="B13" i="2"/>
  <c r="P8" i="16"/>
  <c r="Q4" i="16"/>
  <c r="D9" i="2"/>
  <c r="R4" i="16"/>
  <c r="E9" i="2"/>
  <c r="S4" i="16"/>
  <c r="F9" i="2"/>
  <c r="T4" i="16"/>
  <c r="U4" i="16"/>
  <c r="H9" i="2"/>
  <c r="V4" i="16"/>
  <c r="B9" i="2"/>
  <c r="P4" i="16"/>
  <c r="P4" i="15"/>
  <c r="Q6" i="18"/>
  <c r="Q30" i="18"/>
  <c r="R36" i="18"/>
  <c r="Q9" i="18"/>
  <c r="Q22" i="18"/>
  <c r="Q27" i="18"/>
  <c r="R31" i="18"/>
  <c r="Q32" i="18"/>
  <c r="Q36" i="18"/>
  <c r="R19" i="18"/>
  <c r="R15" i="18"/>
  <c r="Q31" i="18"/>
  <c r="R33" i="18"/>
  <c r="R37" i="18"/>
  <c r="R6" i="18"/>
  <c r="R30" i="18"/>
  <c r="Q26" i="18"/>
  <c r="Q37" i="18"/>
  <c r="D8" i="2"/>
  <c r="D20" i="2"/>
  <c r="R13" i="16"/>
  <c r="F8" i="2"/>
  <c r="F20" i="2"/>
  <c r="T13" i="16"/>
  <c r="T3" i="16"/>
  <c r="F47" i="1"/>
  <c r="F59" i="1"/>
  <c r="Q95" i="15"/>
  <c r="Q67" i="15"/>
  <c r="P2" i="25"/>
  <c r="U2" i="25"/>
  <c r="E79" i="1"/>
  <c r="P119" i="15"/>
  <c r="E47" i="1"/>
  <c r="P95" i="15"/>
  <c r="P57" i="15"/>
  <c r="P42" i="15"/>
  <c r="F79" i="1"/>
  <c r="Q119" i="15"/>
  <c r="Q104" i="15"/>
  <c r="C62" i="1"/>
  <c r="Q54" i="15"/>
  <c r="G20" i="2"/>
  <c r="U13" i="16"/>
  <c r="U3" i="16"/>
  <c r="U8" i="16"/>
  <c r="H8" i="2"/>
  <c r="Q3" i="16"/>
  <c r="E8" i="2"/>
  <c r="R3" i="16"/>
  <c r="B8" i="2"/>
  <c r="C72" i="4"/>
  <c r="D44" i="4"/>
  <c r="D11" i="4"/>
  <c r="C44" i="4"/>
  <c r="C11" i="4"/>
  <c r="D72" i="4"/>
  <c r="D31" i="12"/>
  <c r="R23" i="30"/>
  <c r="G31" i="12"/>
  <c r="U23" i="30"/>
  <c r="E31" i="12"/>
  <c r="S23" i="30"/>
  <c r="C31" i="12"/>
  <c r="Q23" i="30"/>
  <c r="R2" i="30"/>
  <c r="G32" i="10"/>
  <c r="U23" i="28"/>
  <c r="C32" i="10"/>
  <c r="Q23" i="28"/>
  <c r="E32" i="10"/>
  <c r="S23" i="28"/>
  <c r="B32" i="10"/>
  <c r="P23" i="28"/>
  <c r="G75" i="5"/>
  <c r="U62" i="20"/>
  <c r="U58" i="20"/>
  <c r="C70" i="5"/>
  <c r="U48" i="20"/>
  <c r="U37" i="20"/>
  <c r="G41" i="5"/>
  <c r="U10" i="20"/>
  <c r="B70" i="5"/>
  <c r="E20" i="3"/>
  <c r="S5" i="17" s="1"/>
  <c r="Q5" i="18"/>
  <c r="C8" i="4"/>
  <c r="D57" i="4"/>
  <c r="D59" i="4"/>
  <c r="B57" i="4"/>
  <c r="B59" i="4"/>
  <c r="R25" i="18"/>
  <c r="B8" i="4"/>
  <c r="P5" i="18"/>
  <c r="P25" i="18"/>
  <c r="C74" i="4"/>
  <c r="Q39" i="18"/>
  <c r="Q38" i="18"/>
  <c r="P38" i="18"/>
  <c r="B74" i="4"/>
  <c r="P39" i="18"/>
  <c r="B33" i="9"/>
  <c r="P24" i="27"/>
  <c r="E33" i="9"/>
  <c r="S24" i="27"/>
  <c r="R2" i="27"/>
  <c r="D33" i="9"/>
  <c r="R24" i="27"/>
  <c r="T2" i="27"/>
  <c r="F33" i="9"/>
  <c r="T24" i="27"/>
  <c r="P2" i="27"/>
  <c r="E43" i="8"/>
  <c r="S35" i="26"/>
  <c r="C43" i="8"/>
  <c r="Q35" i="26"/>
  <c r="C77" i="8"/>
  <c r="Q68" i="26"/>
  <c r="G43" i="8"/>
  <c r="U35" i="26"/>
  <c r="U36" i="26"/>
  <c r="F9" i="8"/>
  <c r="F77" i="8"/>
  <c r="T68" i="26"/>
  <c r="E9" i="8"/>
  <c r="D9" i="8"/>
  <c r="D77" i="8"/>
  <c r="R68" i="26"/>
  <c r="G19" i="8"/>
  <c r="G9" i="8"/>
  <c r="R12" i="26"/>
  <c r="B9" i="8"/>
  <c r="B77" i="8"/>
  <c r="P68" i="26"/>
  <c r="U12" i="26"/>
  <c r="T12" i="26"/>
  <c r="S2" i="26"/>
  <c r="E77" i="8"/>
  <c r="S68" i="26"/>
  <c r="R2" i="26"/>
  <c r="F129" i="7"/>
  <c r="T4" i="25" s="1"/>
  <c r="F84" i="6"/>
  <c r="T76" i="24"/>
  <c r="D84" i="6"/>
  <c r="R76" i="24"/>
  <c r="R105" i="24"/>
  <c r="B84" i="6"/>
  <c r="P76" i="24"/>
  <c r="G84" i="6"/>
  <c r="U76" i="24"/>
  <c r="C84" i="6"/>
  <c r="Q76" i="24"/>
  <c r="E84" i="6"/>
  <c r="S76" i="24"/>
  <c r="B159" i="6"/>
  <c r="P150" i="24"/>
  <c r="P85" i="24"/>
  <c r="C9" i="6"/>
  <c r="Q2" i="24"/>
  <c r="E9" i="6"/>
  <c r="D9" i="6"/>
  <c r="G9" i="6"/>
  <c r="U2" i="24"/>
  <c r="F9" i="6"/>
  <c r="A2" i="8"/>
  <c r="A2" i="3"/>
  <c r="A2" i="5"/>
  <c r="A2" i="4"/>
  <c r="A2" i="9"/>
  <c r="A2" i="7"/>
  <c r="A2" i="2"/>
  <c r="A2" i="6"/>
  <c r="A2" i="1"/>
  <c r="A2" i="12"/>
  <c r="A2" i="10"/>
  <c r="A2" i="11"/>
  <c r="C5" i="12"/>
  <c r="D5" i="12"/>
  <c r="T2" i="25"/>
  <c r="S2" i="25"/>
  <c r="E59" i="1"/>
  <c r="E81" i="1"/>
  <c r="P120" i="15"/>
  <c r="B62" i="1"/>
  <c r="P54" i="15"/>
  <c r="F81" i="1"/>
  <c r="Q120" i="15"/>
  <c r="V3" i="16"/>
  <c r="H20" i="2"/>
  <c r="V13" i="16"/>
  <c r="S3" i="16"/>
  <c r="E20" i="2"/>
  <c r="S13" i="16"/>
  <c r="P3" i="16"/>
  <c r="B20" i="2"/>
  <c r="P13" i="16"/>
  <c r="Q25" i="18"/>
  <c r="D74" i="4"/>
  <c r="R39" i="18"/>
  <c r="R38" i="18"/>
  <c r="G42" i="5"/>
  <c r="U35" i="20"/>
  <c r="G70" i="5"/>
  <c r="U34" i="20"/>
  <c r="Q2" i="18"/>
  <c r="C21" i="4"/>
  <c r="B21" i="4"/>
  <c r="P2" i="18"/>
  <c r="R5" i="18"/>
  <c r="D8" i="4"/>
  <c r="T2" i="26"/>
  <c r="P2" i="26"/>
  <c r="G77" i="8"/>
  <c r="U68" i="26"/>
  <c r="U2" i="26"/>
  <c r="E159" i="6"/>
  <c r="S150" i="24"/>
  <c r="D159" i="6"/>
  <c r="R150" i="24"/>
  <c r="C159" i="6"/>
  <c r="Q150" i="24"/>
  <c r="S2" i="24"/>
  <c r="R2" i="24"/>
  <c r="G159" i="6"/>
  <c r="U150" i="24"/>
  <c r="F159" i="6"/>
  <c r="T150" i="24"/>
  <c r="T2" i="24"/>
  <c r="P104" i="15"/>
  <c r="Q12" i="18"/>
  <c r="C23" i="4"/>
  <c r="B23" i="4"/>
  <c r="P12" i="18"/>
  <c r="R2" i="18"/>
  <c r="D21" i="4"/>
  <c r="Q13" i="18"/>
  <c r="C25" i="4"/>
  <c r="B25" i="4"/>
  <c r="P13" i="18"/>
  <c r="R12" i="18"/>
  <c r="D23" i="4"/>
  <c r="Q14" i="18"/>
  <c r="C33" i="4"/>
  <c r="Q18" i="18"/>
  <c r="B33" i="4"/>
  <c r="P18" i="18"/>
  <c r="P14" i="18"/>
  <c r="D25" i="4"/>
  <c r="R13" i="18"/>
  <c r="D33" i="4"/>
  <c r="R18" i="18"/>
  <c r="R14" i="18"/>
  <c r="B129" i="7" l="1"/>
  <c r="P4" i="25" s="1"/>
  <c r="G20" i="3"/>
  <c r="U5" i="17" s="1"/>
  <c r="D129" i="7"/>
  <c r="R4" i="25" s="1"/>
  <c r="H20" i="3"/>
  <c r="V5" i="17" s="1"/>
  <c r="I20" i="3"/>
  <c r="W5" i="17" s="1"/>
  <c r="R2" i="25"/>
  <c r="J20" i="3"/>
  <c r="X5" i="17" s="1"/>
  <c r="K20" i="3"/>
  <c r="Y5" i="17" s="1"/>
  <c r="G129" i="7"/>
  <c r="U4" i="25" s="1"/>
  <c r="C129" i="7"/>
  <c r="Q4" i="25" s="1"/>
  <c r="U3" i="17"/>
  <c r="T14" i="16"/>
</calcChain>
</file>

<file path=xl/sharedStrings.xml><?xml version="1.0" encoding="utf-8"?>
<sst xmlns="http://schemas.openxmlformats.org/spreadsheetml/2006/main" count="4343" uniqueCount="3355">
  <si>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</si>
  <si>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</si>
  <si>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</si>
  <si>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</si>
  <si>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</si>
  <si>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</si>
  <si>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</si>
  <si>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</si>
  <si>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</si>
  <si>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</si>
  <si>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</si>
  <si>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</si>
  <si>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</si>
  <si>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</si>
  <si>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</si>
  <si>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</si>
  <si>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</si>
  <si>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</si>
  <si>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</si>
  <si>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</si>
  <si>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</si>
  <si>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</si>
  <si>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</si>
  <si>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</si>
  <si>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</si>
  <si>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</si>
  <si>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</si>
  <si>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</si>
  <si>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</si>
  <si>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</si>
  <si>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</si>
  <si>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</si>
  <si>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</si>
  <si>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</si>
  <si>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</si>
  <si>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</si>
  <si>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</si>
  <si>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</si>
  <si>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</si>
  <si>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</si>
  <si>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</si>
  <si>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</si>
  <si>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</si>
  <si>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</si>
  <si>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</si>
  <si>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</si>
  <si>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</si>
  <si>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</si>
  <si>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</si>
  <si>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</si>
  <si>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</si>
  <si>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</si>
  <si>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</si>
  <si>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</si>
  <si>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</si>
  <si>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</si>
  <si>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</si>
  <si>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</si>
  <si>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</si>
  <si>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</si>
  <si>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</si>
  <si>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</si>
  <si>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</si>
  <si>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</si>
  <si>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</si>
  <si>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</si>
  <si>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</si>
  <si>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</si>
  <si>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</si>
  <si>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</si>
  <si>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</si>
  <si>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</si>
  <si>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</si>
  <si>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</si>
  <si>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</si>
  <si>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</si>
  <si>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</si>
  <si>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</si>
  <si>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</si>
  <si>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</si>
  <si>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</si>
  <si>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</si>
  <si>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</si>
  <si>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</si>
  <si>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</si>
  <si>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</si>
  <si>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</si>
  <si>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</si>
  <si>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</si>
  <si>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</si>
  <si>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</si>
  <si>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</si>
  <si>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</si>
  <si>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</si>
  <si>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</si>
  <si>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</si>
  <si>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</si>
  <si>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</si>
  <si>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</si>
  <si>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</si>
  <si>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</si>
  <si>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</si>
  <si>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</si>
  <si>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</si>
  <si>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</si>
  <si>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</si>
  <si>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</si>
  <si>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</si>
  <si>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</si>
  <si>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</si>
  <si>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</si>
  <si>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</si>
  <si>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</si>
  <si>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</si>
  <si>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</si>
  <si>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</si>
  <si>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</si>
  <si>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</si>
  <si>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</si>
  <si>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</si>
  <si>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</si>
  <si>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</si>
  <si>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</si>
  <si>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</si>
  <si>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</si>
  <si>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</si>
  <si>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</si>
  <si>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</si>
  <si>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</si>
  <si>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</si>
  <si>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</si>
  <si>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</si>
  <si>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</si>
  <si>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</si>
  <si>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</si>
  <si>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</si>
  <si>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</si>
  <si>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</si>
  <si>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</si>
  <si>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</si>
  <si>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</si>
  <si>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</si>
  <si>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</si>
  <si>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</si>
  <si>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</si>
  <si>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</si>
  <si>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</si>
  <si>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</si>
  <si>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</si>
  <si>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</si>
  <si>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</si>
  <si>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</si>
  <si>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</si>
  <si>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</si>
  <si>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</si>
  <si>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</si>
  <si>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</si>
  <si>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</si>
  <si>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</si>
  <si>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</si>
  <si>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</si>
  <si>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</si>
  <si>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</si>
  <si>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</si>
  <si>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</si>
  <si>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</si>
  <si>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</si>
  <si>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</si>
  <si>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</si>
  <si>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</si>
  <si>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</si>
  <si>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</si>
  <si>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</si>
  <si>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</si>
  <si>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</si>
  <si>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</si>
  <si>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</si>
  <si>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</si>
  <si>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</si>
  <si>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</si>
  <si>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</si>
  <si>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</si>
  <si>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</si>
  <si>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</si>
  <si>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</si>
  <si>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</si>
  <si>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</si>
  <si>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</si>
  <si>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</si>
  <si>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</si>
  <si>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</si>
  <si>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</si>
  <si>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</si>
  <si>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</si>
  <si>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</si>
  <si>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</si>
  <si>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</si>
  <si>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</si>
  <si>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</si>
  <si>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</si>
  <si>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</si>
  <si>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</si>
  <si>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</si>
  <si>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</si>
  <si>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</si>
  <si>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</si>
  <si>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</si>
  <si>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</si>
  <si>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</si>
  <si>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</si>
  <si>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</si>
  <si>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</si>
  <si>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</si>
  <si>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</si>
  <si>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</si>
  <si>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</si>
  <si>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</si>
  <si>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</si>
  <si>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</si>
  <si>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</si>
  <si>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</si>
  <si>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</si>
  <si>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</si>
  <si>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</si>
  <si>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</si>
  <si>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</si>
  <si>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</si>
  <si>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</si>
  <si>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</si>
  <si>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</si>
  <si>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</si>
  <si>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</si>
  <si>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</si>
  <si>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</si>
  <si>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</si>
  <si>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</si>
  <si>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</si>
  <si>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</si>
  <si>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</si>
  <si>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</si>
  <si>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</si>
  <si>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</si>
  <si>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</si>
  <si>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</si>
  <si>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</si>
  <si>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</si>
  <si>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</si>
  <si>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</si>
  <si>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</si>
  <si>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</si>
  <si>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</si>
  <si>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</si>
  <si>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</si>
  <si>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</si>
  <si>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</si>
  <si>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</si>
  <si>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</si>
  <si>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</si>
  <si>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</si>
  <si>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</si>
  <si>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</si>
  <si>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</si>
  <si>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</si>
  <si>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</si>
  <si>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</si>
  <si>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</si>
  <si>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</si>
  <si>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</si>
  <si>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</si>
  <si>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</si>
  <si>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</si>
  <si>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</si>
  <si>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</si>
  <si>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</si>
  <si>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</si>
  <si>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</si>
  <si>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</si>
  <si>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</si>
  <si>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</si>
  <si>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</si>
  <si>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</si>
  <si>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</si>
  <si>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</si>
  <si>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</si>
  <si>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</si>
  <si>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</si>
  <si>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</si>
  <si>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</si>
  <si>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</si>
  <si>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</si>
  <si>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</si>
  <si>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</si>
  <si>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</si>
  <si>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</si>
  <si>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</si>
  <si>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</si>
  <si>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</si>
  <si>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</si>
  <si>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</si>
  <si>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</si>
  <si>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</si>
  <si>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</si>
  <si>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</si>
  <si>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</si>
  <si>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</si>
  <si>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</si>
  <si>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</si>
  <si>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</si>
  <si>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</si>
  <si>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</si>
  <si>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</si>
  <si>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</si>
  <si>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</si>
  <si>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</si>
  <si>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</si>
  <si>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</si>
  <si>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</si>
  <si>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</si>
  <si>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</si>
  <si>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</si>
  <si>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</si>
  <si>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</si>
  <si>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</si>
  <si>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</si>
  <si>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</si>
  <si>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</si>
  <si>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</si>
  <si>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</si>
  <si>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</si>
  <si>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</si>
  <si>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</si>
  <si>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</si>
  <si>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</si>
  <si>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</si>
  <si>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</si>
  <si>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</si>
  <si>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</si>
  <si>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</si>
  <si>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</si>
  <si>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</si>
  <si>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</si>
  <si>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</si>
  <si>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</si>
  <si>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</si>
  <si>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</si>
  <si>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</si>
  <si>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</si>
  <si>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</si>
  <si>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</si>
  <si>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</si>
  <si>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</si>
  <si>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</si>
  <si>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</si>
  <si>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</si>
  <si>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</si>
  <si>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</si>
  <si>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</si>
  <si>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</si>
  <si>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</si>
  <si>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</si>
  <si>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</si>
  <si>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</si>
  <si>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</si>
  <si>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</si>
  <si>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</si>
  <si>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</si>
  <si>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</si>
  <si>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</si>
  <si>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</si>
  <si>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</si>
  <si>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</si>
  <si>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</si>
  <si>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</si>
  <si>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</si>
  <si>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</si>
  <si>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</si>
  <si>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</si>
  <si>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</si>
  <si>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</si>
  <si>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</si>
  <si>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</si>
  <si>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</si>
  <si>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</si>
  <si>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</si>
  <si>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</si>
  <si>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</si>
  <si>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</si>
  <si>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</si>
  <si>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</si>
  <si>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</si>
  <si>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</si>
  <si>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</si>
  <si>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</si>
  <si>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</si>
  <si>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</si>
  <si>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</si>
  <si>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</si>
  <si>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</si>
  <si>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</si>
  <si>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</si>
  <si>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</si>
  <si>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</si>
  <si>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</si>
  <si>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</si>
  <si>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</si>
  <si>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</si>
  <si>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</si>
  <si>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</si>
  <si>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</si>
  <si>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</si>
  <si>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</si>
  <si>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</si>
  <si>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</si>
  <si>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</si>
  <si>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</si>
  <si>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</si>
  <si>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</si>
  <si>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</si>
  <si>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</si>
  <si>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</si>
  <si>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</si>
  <si>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</si>
  <si>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</si>
  <si>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</si>
  <si>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</si>
  <si>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</si>
  <si>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</si>
  <si>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</si>
  <si>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</si>
  <si>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</si>
  <si>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</si>
  <si>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</si>
  <si>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</si>
  <si>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</si>
  <si>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</si>
  <si>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</si>
  <si>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</si>
  <si>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</si>
  <si>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</si>
  <si>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</si>
  <si>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</si>
  <si>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</si>
  <si>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</si>
  <si>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</si>
  <si>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</si>
  <si>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</si>
  <si>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</si>
  <si>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</si>
  <si>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</si>
  <si>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</si>
  <si>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</si>
  <si>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</si>
  <si>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</si>
  <si>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</si>
  <si>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</si>
  <si>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</si>
  <si>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</si>
  <si>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</si>
  <si>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</si>
  <si>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</si>
  <si>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</si>
  <si>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</si>
  <si>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</si>
  <si>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</si>
  <si>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</si>
  <si>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</si>
  <si>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</si>
  <si>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</si>
  <si>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</si>
  <si>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</si>
  <si>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</si>
  <si>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</si>
  <si>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</si>
  <si>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</si>
  <si>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</si>
  <si>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</si>
  <si>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</si>
  <si>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</si>
  <si>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</si>
  <si>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</si>
  <si>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</si>
  <si>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</si>
  <si>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</si>
  <si>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</si>
  <si>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</si>
  <si>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</si>
  <si>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</si>
  <si>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</si>
  <si>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</si>
  <si>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</si>
  <si>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</si>
  <si>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</si>
  <si>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</si>
  <si>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</si>
  <si>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</si>
  <si>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</si>
  <si>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</si>
  <si>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</si>
  <si>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</si>
  <si>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</si>
  <si>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</si>
  <si>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</si>
  <si>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</si>
  <si>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</si>
  <si>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</si>
  <si>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</si>
  <si>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</si>
  <si>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</si>
  <si>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</si>
  <si>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</si>
  <si>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</si>
  <si>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</si>
  <si>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</si>
  <si>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</si>
  <si>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</si>
  <si>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</si>
  <si>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</si>
  <si>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</si>
  <si>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</si>
  <si>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</si>
  <si>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</si>
  <si>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</si>
  <si>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</si>
  <si>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</si>
  <si>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</si>
  <si>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</si>
  <si>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</si>
  <si>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</si>
  <si>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</si>
  <si>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</si>
  <si>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</si>
  <si>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</si>
  <si>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</si>
  <si>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</si>
  <si>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</si>
  <si>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</si>
  <si>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</si>
  <si>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</si>
  <si>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</si>
  <si>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</si>
  <si>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</si>
  <si>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</si>
  <si>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</si>
  <si>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</si>
  <si>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</si>
  <si>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</si>
  <si>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</si>
  <si>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</si>
  <si>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</si>
  <si>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</si>
  <si>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</si>
  <si>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</si>
  <si>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</si>
  <si>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</si>
  <si>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</si>
  <si>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</si>
  <si>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</si>
  <si>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</si>
  <si>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</si>
  <si>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</si>
  <si>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</si>
  <si>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</si>
  <si>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</si>
  <si>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</si>
  <si>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</si>
  <si>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</si>
  <si>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</si>
  <si>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</si>
  <si>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</si>
  <si>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</si>
  <si>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</si>
  <si>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</si>
  <si>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</si>
  <si>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</si>
  <si>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</si>
  <si>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</si>
  <si>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</si>
  <si>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</si>
  <si>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</si>
  <si>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</si>
  <si>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</si>
  <si>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</si>
  <si>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</si>
  <si>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</si>
  <si>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</si>
  <si>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</si>
  <si>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</si>
  <si>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</si>
  <si>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</si>
  <si>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</si>
  <si>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</si>
  <si>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</si>
  <si>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</si>
  <si>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</si>
  <si>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</si>
  <si>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</si>
  <si>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</si>
  <si>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</si>
  <si>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</si>
  <si>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</si>
  <si>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</si>
  <si>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</si>
  <si>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</si>
  <si>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</si>
  <si>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</si>
  <si>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</si>
  <si>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</si>
  <si>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</si>
  <si>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</si>
  <si>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</si>
  <si>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</si>
  <si>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</si>
  <si>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</si>
  <si>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</si>
  <si>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</si>
  <si>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</si>
  <si>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</si>
  <si>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</si>
  <si>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</si>
  <si>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</si>
  <si>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</si>
  <si>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</si>
  <si>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</si>
  <si>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</si>
  <si>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</si>
  <si>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</si>
  <si>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</si>
  <si>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</si>
  <si>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</si>
  <si>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</si>
  <si>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</si>
  <si>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</si>
  <si>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</si>
  <si>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</si>
  <si>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</si>
  <si>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</si>
  <si>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</si>
  <si>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</si>
  <si>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</si>
  <si>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</si>
  <si>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</si>
  <si>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</si>
  <si>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</si>
  <si>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</si>
  <si>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</si>
  <si>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</si>
  <si>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</si>
  <si>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</si>
  <si>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</si>
  <si>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</si>
  <si>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</si>
  <si>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</si>
  <si>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</si>
  <si>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</si>
  <si>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</si>
  <si>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</si>
  <si>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</si>
  <si>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</si>
  <si>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</si>
  <si>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</si>
  <si>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</si>
  <si>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</si>
  <si>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</si>
  <si>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</si>
  <si>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</si>
  <si>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</si>
  <si>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</si>
  <si>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</si>
  <si>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</si>
  <si>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</si>
  <si>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</si>
  <si>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</si>
  <si>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</si>
  <si>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</si>
  <si>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</si>
  <si>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</si>
  <si>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</si>
  <si>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</si>
  <si>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</si>
  <si>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</si>
  <si>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</si>
  <si>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</si>
  <si>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</si>
  <si>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</si>
  <si>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</si>
  <si>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</si>
  <si>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</si>
  <si>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</si>
  <si>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</si>
  <si>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</si>
  <si>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</si>
  <si>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</si>
  <si>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</si>
  <si>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</si>
  <si>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</si>
  <si>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</si>
  <si>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</si>
  <si>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</si>
  <si>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</si>
  <si>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</si>
  <si>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</si>
  <si>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</si>
  <si>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</si>
  <si>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</si>
  <si>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</si>
  <si>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</si>
  <si>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</si>
  <si>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</si>
  <si>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</si>
  <si>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</si>
  <si>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</si>
  <si>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</si>
  <si>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</si>
  <si>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</si>
  <si>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</si>
  <si>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</si>
  <si>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</si>
  <si>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</si>
  <si>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</si>
  <si>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</si>
  <si>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</si>
  <si>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</si>
  <si>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</si>
  <si>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</si>
  <si>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</si>
  <si>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</si>
  <si>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</si>
  <si>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</si>
  <si>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</si>
  <si>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</si>
  <si>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</si>
  <si>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</si>
  <si>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</si>
  <si>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</si>
  <si>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</si>
  <si>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</si>
  <si>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</si>
  <si>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</si>
  <si>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</si>
  <si>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</si>
  <si>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</si>
  <si>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</si>
  <si>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</si>
  <si>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</si>
  <si>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</si>
  <si>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</si>
  <si>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</si>
  <si>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</si>
  <si>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</si>
  <si>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</si>
  <si>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</si>
  <si>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</si>
  <si>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</si>
  <si>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</si>
  <si>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</si>
  <si>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</si>
  <si>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</si>
  <si>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</si>
  <si>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</si>
  <si>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</si>
  <si>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</si>
  <si>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</si>
  <si>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</si>
  <si>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</si>
  <si>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</si>
  <si>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</si>
  <si>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</si>
  <si>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</si>
  <si>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</si>
  <si>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</si>
  <si>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</si>
  <si>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</si>
  <si>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</si>
  <si>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</si>
  <si>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</si>
  <si>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</si>
  <si>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</si>
  <si>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</si>
  <si>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</si>
  <si>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</si>
  <si>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</si>
  <si>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</si>
  <si>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</si>
  <si>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</si>
  <si>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</si>
  <si>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</si>
  <si>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</si>
  <si>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</si>
  <si>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</si>
  <si>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</si>
  <si>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</si>
  <si>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</si>
  <si>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</si>
  <si>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</si>
  <si>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</si>
  <si>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</si>
  <si>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</si>
  <si>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</si>
  <si>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</si>
  <si>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</si>
  <si>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</si>
  <si>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</si>
  <si>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</si>
  <si>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</si>
  <si>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</si>
  <si>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</si>
  <si>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</si>
  <si>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</si>
  <si>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</si>
  <si>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</si>
  <si>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</si>
  <si>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</si>
  <si>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</si>
  <si>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</si>
  <si>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</si>
  <si>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</si>
  <si>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</si>
  <si>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</si>
  <si>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</si>
  <si>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</si>
  <si>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</si>
  <si>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</si>
  <si>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</si>
  <si>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</si>
  <si>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</si>
  <si>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</si>
  <si>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</si>
  <si>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</si>
  <si>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</si>
  <si>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</si>
  <si>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</si>
  <si>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</si>
  <si>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</si>
  <si>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</si>
  <si>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</si>
  <si>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</si>
  <si>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</si>
  <si>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</si>
  <si>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</si>
  <si>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</si>
  <si>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</si>
  <si>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</si>
  <si>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</si>
  <si>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</si>
  <si>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</si>
  <si>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</si>
  <si>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</si>
  <si>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</si>
  <si>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</si>
  <si>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</si>
  <si>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</si>
  <si>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</si>
  <si>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</si>
  <si>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</si>
  <si>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</si>
  <si>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</si>
  <si>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</si>
  <si>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</si>
  <si>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</si>
  <si>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</si>
  <si>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</si>
  <si>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</si>
  <si>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</si>
  <si>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</si>
  <si>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</si>
  <si>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</si>
  <si>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</si>
  <si>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</si>
  <si>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</si>
  <si>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</si>
  <si>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</si>
  <si>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</si>
  <si>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</si>
  <si>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</si>
  <si>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</si>
  <si>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</si>
  <si>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</si>
  <si>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</si>
  <si>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</si>
  <si>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</si>
  <si>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</si>
  <si>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</si>
  <si>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</si>
  <si>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</si>
  <si>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</si>
  <si>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</si>
  <si>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</si>
  <si>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</si>
  <si>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</si>
  <si>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</si>
  <si>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</si>
  <si>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</si>
  <si>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</si>
  <si>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</si>
  <si>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</si>
  <si>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</si>
  <si>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</si>
  <si>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</si>
  <si>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</si>
  <si>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</si>
  <si>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</si>
  <si>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</si>
  <si>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</si>
  <si>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</si>
  <si>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</si>
  <si>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</si>
  <si>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</si>
  <si>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</si>
  <si>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</si>
  <si>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</si>
  <si>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</si>
  <si>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</si>
  <si>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</si>
  <si>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</si>
  <si>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</si>
  <si>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</si>
  <si>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</si>
  <si>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</si>
  <si>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</si>
  <si>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</si>
  <si>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</si>
  <si>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</si>
  <si>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</si>
  <si>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</si>
  <si>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</si>
  <si>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</si>
  <si>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</si>
  <si>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</si>
  <si>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</si>
  <si>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</si>
  <si>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</si>
  <si>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</si>
  <si>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</si>
  <si>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</si>
  <si>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</si>
  <si>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</si>
  <si>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</si>
  <si>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</si>
  <si>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</si>
  <si>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</si>
  <si>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</si>
  <si>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</si>
  <si>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</si>
  <si>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</si>
  <si>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</si>
  <si>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</si>
  <si>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</si>
  <si>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</si>
  <si>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</si>
  <si>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</si>
  <si>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</si>
  <si>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</si>
  <si>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</si>
  <si>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</si>
  <si>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</si>
  <si>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</si>
  <si>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</si>
  <si>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</si>
  <si>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</si>
  <si>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</si>
  <si>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</si>
  <si>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</si>
  <si>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</si>
  <si>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</si>
  <si>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</si>
  <si>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</si>
  <si>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</si>
  <si>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</si>
  <si>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</si>
  <si>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</si>
  <si>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</si>
  <si>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</si>
  <si>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</si>
  <si>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</si>
  <si>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</si>
  <si>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</si>
  <si>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</si>
  <si>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</si>
  <si>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</si>
  <si>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</si>
  <si>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</si>
  <si>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</si>
  <si>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</si>
  <si>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</si>
  <si>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</si>
  <si>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</si>
  <si>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</si>
  <si>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</si>
  <si>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</si>
  <si>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</si>
  <si>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</si>
  <si>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</si>
  <si>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</si>
  <si>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</si>
  <si>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</si>
  <si>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</si>
  <si>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</si>
  <si>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</si>
  <si>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</si>
  <si>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</si>
  <si>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</si>
  <si>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</si>
  <si>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</si>
  <si>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</si>
  <si>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</si>
  <si>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</si>
  <si>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</si>
  <si>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</si>
  <si>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</si>
  <si>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</si>
  <si>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</si>
  <si>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</si>
  <si>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</si>
  <si>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</si>
  <si>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</si>
  <si>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</si>
  <si>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</si>
  <si>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</si>
  <si>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</si>
  <si>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</si>
  <si>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</si>
  <si>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</si>
  <si>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</si>
  <si>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</si>
  <si>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</si>
  <si>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</si>
  <si>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</si>
  <si>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</si>
  <si>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</si>
  <si>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</si>
  <si>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</si>
  <si>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</si>
  <si>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</si>
  <si>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</si>
  <si>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</si>
  <si>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</si>
  <si>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</si>
  <si>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</si>
  <si>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</si>
  <si>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</si>
  <si>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</si>
  <si>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</si>
  <si>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</si>
  <si>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</si>
  <si>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</si>
  <si>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</si>
  <si>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</si>
  <si>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</si>
  <si>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</si>
  <si>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</si>
  <si>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</si>
  <si>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</si>
  <si>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</si>
  <si>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</si>
  <si>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</si>
  <si>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</si>
  <si>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</si>
  <si>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</si>
  <si>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</si>
  <si>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</si>
  <si>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</si>
  <si>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</si>
  <si>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</si>
  <si>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</si>
  <si>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</si>
  <si>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</si>
  <si>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</si>
  <si>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</si>
  <si>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</si>
  <si>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</si>
  <si>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</si>
  <si>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</si>
  <si>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</si>
  <si>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</si>
  <si>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</si>
  <si>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</si>
  <si>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</si>
  <si>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</si>
  <si>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</si>
  <si>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</si>
  <si>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</si>
  <si>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</si>
  <si>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</si>
  <si>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</si>
  <si>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</si>
  <si>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</si>
  <si>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</si>
  <si>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</si>
  <si>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</si>
  <si>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</si>
  <si>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</si>
  <si>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</si>
  <si>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</si>
  <si>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</si>
  <si>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</si>
  <si>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</si>
  <si>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</si>
  <si>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</si>
  <si>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</si>
  <si>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</si>
  <si>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</si>
  <si>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</si>
  <si>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</si>
  <si>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</si>
  <si>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</si>
  <si>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</si>
  <si>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</si>
  <si>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</si>
  <si>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</si>
  <si>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</si>
  <si>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</si>
  <si>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</si>
  <si>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</si>
  <si>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</si>
  <si>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</si>
  <si>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</si>
  <si>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</si>
  <si>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</si>
  <si>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</si>
  <si>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</si>
  <si>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</si>
  <si>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</si>
  <si>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</si>
  <si>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</si>
  <si>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</si>
  <si>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</si>
  <si>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</si>
  <si>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</si>
  <si>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</si>
  <si>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</si>
  <si>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</si>
  <si>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</si>
  <si>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</si>
  <si>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</si>
  <si>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</si>
  <si>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</si>
  <si>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</si>
  <si>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</si>
  <si>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</si>
  <si>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</si>
  <si>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</si>
  <si>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</si>
  <si>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</si>
  <si>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</si>
  <si>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</si>
  <si>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</si>
  <si>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</si>
  <si>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</si>
  <si>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</si>
  <si>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</si>
  <si>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</si>
  <si>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</si>
  <si>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</si>
  <si>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</si>
  <si>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</si>
  <si>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</si>
  <si>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</si>
  <si>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</si>
  <si>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</si>
  <si>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</si>
  <si>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</si>
  <si>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</si>
  <si>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</si>
  <si>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</si>
  <si>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</si>
  <si>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</si>
  <si>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</si>
  <si>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</si>
  <si>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</si>
  <si>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</si>
  <si>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</si>
  <si>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</si>
  <si>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</si>
  <si>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</si>
  <si>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</si>
  <si>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</si>
  <si>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</si>
  <si>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</si>
  <si>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</si>
  <si>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</si>
  <si>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</si>
  <si>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</si>
  <si>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</si>
  <si>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</si>
  <si>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</si>
  <si>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</si>
  <si>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</si>
  <si>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</si>
  <si>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</si>
  <si>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</si>
  <si>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</si>
  <si>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</si>
  <si>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</si>
  <si>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</si>
  <si>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</si>
  <si>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</si>
  <si>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</si>
  <si>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</si>
  <si>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</si>
  <si>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</si>
  <si>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</si>
  <si>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</si>
  <si>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</si>
  <si>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</si>
  <si>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</si>
  <si>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</si>
  <si>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</si>
  <si>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</si>
  <si>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</si>
  <si>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</si>
  <si>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</si>
  <si>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</si>
  <si>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</si>
  <si>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</si>
  <si>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</si>
  <si>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</si>
  <si>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</si>
  <si>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</si>
  <si>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</si>
  <si>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</si>
  <si>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</si>
  <si>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</si>
  <si>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</si>
  <si>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</si>
  <si>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</si>
  <si>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</si>
  <si>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</si>
  <si>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</si>
  <si>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</si>
  <si>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</si>
  <si>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</si>
  <si>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</si>
  <si>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</si>
  <si>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</si>
  <si>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</si>
  <si>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</si>
  <si>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</si>
  <si>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</si>
  <si>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</si>
  <si>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</si>
  <si>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</si>
  <si>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</si>
  <si>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</si>
  <si>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</si>
  <si>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</si>
  <si>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</si>
  <si>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</si>
  <si>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</si>
  <si>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</si>
  <si>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</si>
  <si>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</si>
  <si>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</si>
  <si>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</si>
  <si>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</si>
  <si>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</si>
  <si>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</si>
  <si>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</si>
  <si>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</si>
  <si>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</si>
  <si>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</si>
  <si>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</si>
  <si>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</si>
  <si>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</si>
  <si>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</si>
  <si>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</si>
  <si>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</si>
  <si>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</si>
  <si>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</si>
  <si>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</si>
  <si>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</si>
  <si>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</si>
  <si>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</si>
  <si>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</si>
  <si>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</si>
  <si>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</si>
  <si>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</si>
  <si>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</si>
  <si>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</si>
  <si>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</si>
  <si>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</si>
  <si>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</si>
  <si>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</si>
  <si>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</si>
  <si>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</si>
  <si>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</si>
  <si>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</si>
  <si>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</si>
  <si>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</si>
  <si>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</si>
  <si>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</si>
  <si>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</si>
  <si>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</si>
  <si>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</si>
  <si>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</si>
  <si>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</si>
  <si>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</si>
  <si>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</si>
  <si>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</si>
  <si>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</si>
  <si>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</si>
  <si>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</si>
  <si>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</si>
  <si>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</si>
  <si>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</si>
  <si>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</si>
  <si>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</si>
  <si>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</si>
  <si>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</si>
  <si>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</si>
  <si>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</si>
  <si>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</si>
  <si>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</si>
  <si>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</si>
  <si>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</si>
  <si>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</si>
  <si>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</si>
  <si>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</si>
  <si>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</si>
  <si>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</si>
  <si>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</si>
  <si>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</si>
  <si>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</si>
  <si>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</si>
  <si>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</si>
  <si>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</si>
  <si>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</si>
  <si>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</si>
  <si>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</si>
  <si>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</si>
  <si>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</si>
  <si>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</si>
  <si>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</si>
  <si>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</si>
  <si>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</si>
  <si>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</si>
  <si>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</si>
  <si>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</si>
  <si>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</si>
  <si>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</si>
  <si>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</si>
  <si>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</si>
  <si>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</si>
  <si>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</si>
  <si>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</si>
  <si>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</si>
  <si>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</si>
  <si>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</si>
  <si>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</si>
  <si>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</si>
  <si>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</si>
  <si>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</si>
  <si>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</si>
  <si>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</si>
  <si>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</si>
  <si>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</si>
  <si>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</si>
  <si>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</si>
  <si>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</si>
  <si>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</si>
  <si>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</si>
  <si>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</si>
  <si>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</si>
  <si>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</si>
  <si>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</si>
  <si>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</si>
  <si>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</si>
  <si>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</si>
  <si>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</si>
  <si>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</si>
  <si>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</si>
  <si>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</si>
  <si>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</si>
  <si>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</si>
  <si>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</si>
  <si>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</si>
  <si>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</si>
  <si>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</si>
  <si>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</si>
  <si>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</si>
  <si>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</si>
  <si>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</si>
  <si>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</si>
  <si>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</si>
  <si>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</si>
  <si>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</si>
  <si>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</si>
  <si>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</si>
  <si>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</si>
  <si>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</si>
  <si>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</si>
  <si>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</si>
  <si>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</si>
  <si>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</si>
  <si>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</si>
  <si>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</si>
  <si>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</si>
  <si>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</si>
  <si>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</si>
  <si>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</si>
  <si>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</si>
  <si>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</si>
  <si>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</si>
  <si>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</si>
  <si>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</si>
  <si>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</si>
  <si>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</si>
  <si>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</si>
  <si>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</si>
  <si>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</si>
  <si>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</si>
  <si>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</si>
  <si>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</si>
  <si>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</si>
  <si>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</si>
  <si>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</si>
  <si>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</si>
  <si>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</si>
  <si>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</si>
  <si>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</si>
  <si>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</si>
  <si>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</si>
  <si>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</si>
  <si>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</si>
  <si>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</si>
  <si>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</si>
  <si>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</si>
  <si>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</si>
  <si>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</si>
  <si>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</si>
  <si>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</si>
  <si>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</si>
  <si>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</si>
  <si>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</si>
  <si>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</si>
  <si>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</si>
  <si>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</si>
  <si>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</si>
  <si>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</si>
  <si>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</si>
  <si>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</si>
  <si>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</si>
  <si>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</si>
  <si>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</si>
  <si>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</si>
  <si>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</si>
  <si>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</si>
  <si>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</si>
  <si>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</si>
  <si>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</si>
  <si>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</si>
  <si>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</si>
  <si>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</si>
  <si>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</si>
  <si>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</si>
  <si>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</si>
  <si>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</si>
  <si>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</si>
  <si>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</si>
  <si>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</si>
  <si>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</si>
  <si>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</si>
  <si>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</si>
  <si>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</si>
  <si>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</si>
  <si>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</si>
  <si>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</si>
  <si>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</si>
  <si>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</si>
  <si>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</si>
  <si>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</si>
  <si>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</si>
  <si>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</si>
  <si>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</si>
  <si>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</si>
  <si>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</si>
  <si>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</si>
  <si>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</si>
  <si>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</si>
  <si>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</si>
  <si>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</si>
  <si>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</si>
  <si>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</si>
  <si>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</si>
  <si>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</si>
  <si>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</si>
  <si>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</si>
  <si>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</si>
  <si>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</si>
  <si>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</si>
  <si>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</si>
  <si>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</si>
  <si>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</si>
  <si>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</si>
  <si>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</si>
  <si>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</si>
  <si>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</si>
  <si>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</si>
  <si>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</si>
  <si>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</si>
  <si>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</si>
  <si>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</si>
  <si>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</si>
  <si>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</si>
  <si>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</si>
  <si>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</si>
  <si>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</si>
  <si>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</si>
  <si>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</si>
  <si>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</si>
  <si>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</si>
  <si>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</si>
  <si>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</si>
  <si>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</si>
  <si>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</si>
  <si>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</si>
  <si>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</si>
  <si>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</si>
  <si>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</si>
  <si>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</si>
  <si>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</si>
  <si>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</si>
  <si>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</si>
  <si>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</si>
  <si>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</si>
  <si>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</si>
  <si>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</si>
  <si>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</si>
  <si>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</si>
  <si>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</si>
  <si>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</si>
  <si>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</si>
  <si>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</si>
  <si>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</si>
  <si>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</si>
  <si>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</si>
  <si>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</si>
  <si>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</si>
  <si>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</si>
  <si>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</si>
  <si>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</si>
  <si>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</si>
  <si>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</si>
  <si>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</si>
  <si>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</si>
  <si>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</si>
  <si>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</si>
  <si>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</si>
  <si>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</si>
  <si>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</si>
  <si>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</si>
  <si>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</si>
  <si>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</si>
  <si>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</si>
  <si>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</si>
  <si>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</si>
  <si>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</si>
  <si>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</si>
  <si>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</si>
  <si>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</si>
  <si>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</si>
  <si>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</si>
  <si>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</si>
  <si>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</si>
  <si>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</si>
  <si>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</si>
  <si>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</si>
  <si>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</si>
  <si>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</si>
  <si>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</si>
  <si>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</si>
  <si>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</si>
  <si>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</si>
  <si>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</si>
  <si>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</si>
  <si>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</si>
  <si>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</si>
  <si>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</si>
  <si>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</si>
  <si>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</si>
  <si>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</si>
  <si>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</si>
  <si>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</si>
  <si>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</si>
  <si>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</si>
  <si>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</si>
  <si>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</si>
  <si>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</si>
  <si>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</si>
  <si>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</si>
  <si>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</si>
  <si>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</si>
  <si>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</si>
  <si>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</si>
  <si>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</si>
  <si>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</si>
  <si>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</si>
  <si>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</si>
  <si>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</si>
  <si>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</si>
  <si>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</si>
  <si>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</si>
  <si>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</si>
  <si>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</si>
  <si>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</si>
  <si>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</si>
  <si>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</si>
  <si>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</si>
  <si>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</si>
  <si>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</si>
  <si>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</si>
  <si>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</si>
  <si>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</si>
  <si>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</si>
  <si>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</si>
  <si>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</si>
  <si>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</si>
  <si>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</si>
  <si>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</si>
  <si>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</si>
  <si>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</si>
  <si>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</si>
  <si>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</si>
  <si>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</si>
  <si>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</si>
  <si>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</si>
  <si>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</si>
  <si>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</si>
  <si>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</si>
  <si>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</si>
  <si>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</si>
  <si>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</si>
  <si>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</si>
  <si>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</si>
  <si>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</si>
  <si>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</si>
  <si>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</si>
  <si>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</si>
  <si>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</si>
  <si>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</si>
  <si>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</si>
  <si>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</si>
  <si>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</si>
  <si>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</si>
  <si>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</si>
  <si>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</si>
  <si>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</si>
  <si>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</si>
  <si>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</si>
  <si>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</si>
  <si>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</si>
  <si>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</si>
  <si>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</si>
  <si>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</si>
  <si>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</si>
  <si>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</si>
  <si>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</si>
  <si>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</si>
  <si>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</si>
  <si>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</si>
  <si>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</si>
  <si>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</si>
  <si>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</si>
  <si>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</si>
  <si>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</si>
  <si>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</si>
  <si>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</si>
  <si>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</si>
  <si>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</si>
  <si>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</si>
  <si>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</si>
  <si>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</si>
  <si>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</si>
  <si>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</si>
  <si>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</si>
  <si>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</si>
  <si>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</si>
  <si>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</si>
  <si>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</si>
  <si>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</si>
  <si>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</si>
  <si>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</si>
  <si>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</si>
  <si>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</si>
  <si>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</si>
  <si>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</si>
  <si>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</si>
  <si>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</si>
  <si>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</si>
  <si>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</si>
  <si>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</si>
  <si>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</si>
  <si>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</si>
  <si>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</si>
  <si>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</si>
  <si>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</si>
  <si>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</si>
  <si>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</si>
  <si>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</si>
  <si>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</si>
  <si>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</si>
  <si>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</si>
  <si>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</si>
  <si>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</si>
  <si>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</si>
  <si>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</si>
  <si>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</si>
  <si>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</si>
  <si>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</si>
  <si>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</si>
  <si>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</si>
  <si>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</si>
  <si>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</si>
  <si>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</si>
  <si>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</si>
  <si>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</si>
  <si>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</si>
  <si>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</si>
  <si>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</si>
  <si>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</si>
  <si>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</si>
  <si>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</si>
  <si>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</si>
  <si>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</si>
  <si>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</si>
  <si>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</si>
  <si>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</si>
  <si>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</si>
  <si>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</si>
  <si>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</si>
  <si>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</si>
  <si>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</si>
  <si>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</si>
  <si>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</si>
  <si>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</si>
  <si>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</si>
  <si>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</si>
  <si>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</si>
  <si>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</si>
  <si>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</si>
  <si>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</si>
  <si>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</si>
  <si>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</si>
  <si>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</si>
  <si>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</si>
  <si>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</si>
  <si>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</si>
  <si>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</si>
  <si>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</si>
  <si>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</si>
  <si>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</si>
  <si>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</si>
  <si>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</si>
  <si>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</si>
  <si>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</si>
  <si>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</si>
  <si>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</si>
  <si>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</si>
  <si>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</si>
  <si>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</si>
  <si>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</si>
  <si>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</si>
  <si>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</si>
  <si>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</si>
  <si>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</si>
  <si>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</si>
  <si>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</si>
  <si>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</si>
  <si>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</si>
  <si>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</si>
  <si>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</si>
  <si>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</si>
  <si>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</si>
  <si>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</si>
  <si>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</si>
  <si>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</si>
  <si>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</si>
  <si>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</si>
  <si>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</si>
  <si>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</si>
  <si>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</si>
  <si>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</si>
  <si>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</si>
  <si>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</si>
  <si>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</si>
  <si>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</si>
  <si>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</si>
  <si>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</si>
  <si>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</si>
  <si>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</si>
  <si>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</si>
  <si>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</si>
  <si>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</si>
  <si>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</si>
  <si>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</si>
  <si>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</si>
  <si>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</si>
  <si>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</si>
  <si>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</si>
  <si>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</si>
  <si>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</si>
  <si>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</si>
  <si>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</si>
  <si>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</si>
  <si>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</si>
  <si>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</si>
  <si>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</si>
  <si>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</si>
  <si>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</si>
  <si>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</si>
  <si>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</si>
  <si>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</si>
  <si>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</si>
  <si>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</si>
  <si>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</si>
  <si>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</si>
  <si>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</si>
  <si>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</si>
  <si>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</si>
  <si>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</si>
  <si>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</si>
  <si>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</si>
  <si>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</si>
  <si>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</si>
  <si>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</si>
  <si>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</si>
  <si>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</si>
  <si>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</si>
  <si>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</si>
  <si>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</si>
  <si>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</si>
  <si>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</si>
  <si>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</si>
  <si>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</si>
  <si>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</si>
  <si>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</si>
  <si>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</si>
  <si>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</si>
  <si>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</si>
  <si>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</si>
  <si>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</si>
  <si>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</si>
  <si>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</si>
  <si>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</si>
  <si>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</si>
  <si>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</si>
  <si>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</si>
  <si>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</si>
  <si>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</si>
  <si>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</si>
  <si>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</si>
  <si>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</si>
  <si>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</si>
  <si>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</si>
  <si>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</si>
  <si>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</si>
  <si>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</si>
  <si>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</si>
  <si>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</si>
  <si>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</si>
  <si>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</si>
  <si>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</si>
  <si>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</si>
  <si>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</si>
  <si>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</si>
  <si>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</si>
  <si>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</si>
  <si>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</si>
  <si>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</si>
  <si>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</si>
  <si>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</si>
  <si>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</si>
  <si>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</si>
  <si>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</si>
  <si>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</si>
  <si>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</si>
  <si>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</si>
  <si>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</si>
  <si>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</si>
  <si>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</si>
  <si>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</si>
  <si>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</si>
  <si>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</si>
  <si>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</si>
  <si>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</si>
  <si>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</si>
  <si>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</si>
  <si>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</si>
  <si>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</si>
  <si>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</si>
  <si>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</si>
  <si>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</si>
  <si>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</si>
  <si>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</si>
  <si>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</si>
  <si>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</si>
  <si>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</si>
  <si>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</si>
  <si>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</si>
  <si>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</si>
  <si>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</si>
  <si>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</si>
  <si>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</si>
  <si>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</si>
  <si>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</si>
  <si>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</si>
  <si>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</si>
  <si>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</si>
  <si>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</si>
  <si>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</si>
  <si>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</si>
  <si>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</si>
  <si>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</si>
  <si>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</si>
  <si>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</si>
  <si>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</si>
  <si>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</si>
  <si>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</si>
  <si>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</si>
  <si>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</si>
  <si>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</si>
  <si>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</si>
  <si>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</si>
  <si>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</si>
  <si>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</si>
  <si>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</si>
  <si>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</si>
  <si>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</si>
  <si>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</si>
  <si>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</si>
  <si>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</si>
  <si>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</si>
  <si>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</si>
  <si>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</si>
  <si>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</si>
  <si>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</si>
  <si>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</si>
  <si>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</si>
  <si>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</si>
  <si>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</si>
  <si>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</si>
  <si>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</si>
  <si>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</si>
  <si>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</si>
  <si>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</si>
  <si>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</si>
  <si>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</si>
  <si>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</si>
  <si>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</si>
  <si>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</si>
  <si>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</si>
  <si>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</si>
  <si>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</si>
  <si>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</si>
  <si>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</si>
  <si>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</si>
  <si>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</si>
  <si>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</si>
  <si>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</si>
  <si>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</si>
  <si>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</si>
  <si>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</si>
  <si>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</si>
  <si>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</si>
  <si>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</si>
  <si>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</si>
  <si>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</si>
  <si>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</si>
  <si>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</si>
  <si>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</si>
  <si>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</si>
  <si>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</si>
  <si>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</si>
  <si>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</si>
  <si>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</si>
  <si>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</si>
  <si>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</si>
  <si>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</si>
  <si>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</si>
  <si>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</si>
  <si>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</si>
  <si>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</si>
  <si>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</si>
  <si>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</si>
  <si>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</si>
  <si>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</si>
  <si>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</si>
  <si>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</si>
  <si>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</si>
  <si>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</si>
  <si>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</si>
  <si>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</si>
  <si>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</si>
  <si>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</si>
  <si>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</si>
  <si>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</si>
  <si>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</si>
  <si>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</si>
  <si>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</si>
  <si>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</si>
  <si>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</si>
  <si>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</si>
  <si>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</si>
  <si>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</si>
  <si>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</si>
  <si>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</si>
  <si>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</si>
  <si>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</si>
  <si>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</si>
  <si>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</si>
  <si>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</si>
  <si>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</si>
  <si>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</si>
  <si>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</si>
  <si>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</si>
  <si>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</si>
  <si>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</si>
  <si>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</si>
  <si>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</si>
  <si>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</si>
  <si>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</si>
  <si>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</si>
  <si>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</si>
  <si>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</si>
  <si>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</si>
  <si>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</si>
  <si>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</si>
  <si>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</si>
  <si>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</si>
  <si>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</si>
  <si>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</si>
  <si>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</si>
  <si>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</si>
  <si>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</si>
  <si>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</si>
  <si>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</si>
  <si>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</si>
  <si>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</si>
  <si>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</si>
  <si>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</si>
  <si>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</si>
  <si>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</si>
  <si>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</si>
  <si>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</si>
  <si>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</si>
  <si>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</si>
  <si>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</si>
  <si>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</si>
  <si>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</si>
  <si>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</si>
  <si>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</si>
  <si>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</si>
  <si>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</si>
  <si>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</si>
  <si>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</si>
  <si>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</si>
  <si>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</si>
  <si>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</si>
  <si>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</si>
  <si>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</si>
  <si>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</si>
  <si>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</si>
  <si>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</si>
  <si>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</si>
  <si>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</si>
  <si>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</si>
  <si>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</si>
  <si>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</si>
  <si>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</si>
  <si>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</si>
  <si>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</si>
  <si>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</si>
  <si>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</si>
  <si>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</si>
  <si>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</si>
  <si>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</si>
  <si>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</si>
  <si>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</si>
  <si>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</si>
  <si>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</si>
  <si>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</si>
  <si>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</si>
  <si>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</si>
  <si>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</si>
  <si>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</si>
  <si>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</si>
  <si>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</si>
  <si>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</si>
  <si>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</si>
  <si>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</si>
  <si>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</si>
  <si>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</si>
  <si>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</si>
  <si>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</si>
  <si>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</si>
  <si>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</si>
  <si>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</si>
  <si>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</si>
  <si>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</si>
  <si>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</si>
  <si>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</si>
  <si>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</si>
  <si>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</si>
  <si>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</si>
  <si>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</si>
  <si>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</si>
  <si>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</si>
  <si>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</si>
  <si>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</si>
  <si>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</si>
  <si>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</si>
  <si>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</si>
  <si>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</si>
  <si>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</si>
  <si>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</si>
  <si>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</si>
  <si>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</si>
  <si>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</si>
  <si>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</si>
  <si>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</si>
  <si>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</si>
  <si>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</si>
  <si>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</si>
  <si>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</si>
  <si>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</si>
  <si>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</si>
  <si>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</si>
  <si>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</si>
  <si>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</si>
  <si>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</si>
  <si>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</si>
  <si>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</si>
  <si>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</si>
  <si>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</si>
  <si>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</si>
  <si>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</si>
  <si>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</si>
  <si>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</si>
  <si>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</si>
  <si>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</si>
  <si>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</si>
  <si>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</si>
  <si>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</si>
  <si>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</si>
  <si>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</si>
  <si>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</si>
  <si>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</si>
  <si>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</si>
  <si>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</si>
  <si>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</si>
  <si>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</si>
  <si>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</si>
  <si>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</si>
  <si>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</si>
  <si>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</si>
  <si>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</si>
  <si>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</si>
  <si>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</si>
  <si>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</si>
  <si>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</si>
  <si>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</si>
  <si>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</si>
  <si>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</si>
  <si>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</si>
  <si>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</si>
  <si>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</si>
  <si>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</si>
  <si>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</si>
  <si>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</si>
  <si>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</si>
  <si>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</si>
  <si>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</si>
  <si>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</si>
  <si>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</si>
  <si>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</si>
  <si>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</si>
  <si>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</si>
  <si>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</si>
  <si>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</si>
  <si>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</si>
  <si>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</si>
  <si>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</si>
  <si>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</si>
  <si>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</si>
  <si>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</si>
  <si>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</si>
  <si>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</si>
  <si>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</si>
  <si>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</si>
  <si>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</si>
  <si>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</si>
  <si>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</si>
  <si>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</si>
  <si>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</si>
  <si>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</si>
  <si>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</si>
  <si>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</si>
  <si>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</si>
  <si>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</si>
  <si>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</si>
  <si>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</si>
  <si>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</si>
  <si>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</si>
  <si>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</si>
  <si>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</si>
  <si>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</si>
  <si>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</si>
  <si>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</si>
  <si>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</si>
  <si>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</si>
  <si>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</si>
  <si>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</si>
  <si>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</si>
  <si>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</si>
  <si>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</si>
  <si>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</si>
  <si>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</si>
  <si>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</si>
  <si>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</si>
  <si>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</si>
  <si>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</si>
  <si>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</si>
  <si>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</si>
  <si>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</si>
  <si>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</si>
  <si>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</si>
  <si>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</si>
  <si>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</si>
  <si>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</si>
  <si>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</si>
  <si>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</si>
  <si>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</si>
  <si>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</si>
  <si>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</si>
  <si>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</si>
  <si>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</si>
  <si>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</si>
  <si>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</si>
  <si>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</si>
  <si>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</si>
  <si>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</si>
  <si>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</si>
  <si>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</si>
  <si>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</si>
  <si>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</si>
  <si>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</si>
  <si>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</si>
  <si>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</si>
  <si>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</si>
  <si>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</si>
  <si>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</si>
  <si>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</si>
  <si>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</si>
  <si>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</si>
  <si>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</si>
  <si>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</si>
  <si>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</si>
  <si>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</si>
  <si>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</si>
  <si>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</si>
  <si>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</si>
  <si>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</si>
  <si>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</si>
  <si>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</si>
  <si>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</si>
  <si>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</si>
  <si>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</si>
  <si>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</si>
  <si>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</si>
  <si>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</si>
  <si>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</si>
  <si>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</si>
  <si>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</si>
  <si>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</si>
  <si>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</si>
  <si>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</si>
  <si>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</si>
  <si>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</si>
  <si>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</si>
  <si>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</si>
  <si>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</si>
  <si>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</si>
  <si>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</si>
  <si>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</si>
  <si>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</si>
  <si>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</si>
  <si>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</si>
  <si>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</si>
  <si>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</si>
  <si>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</si>
  <si>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</si>
  <si>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</si>
  <si>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</si>
  <si>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</si>
  <si>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</si>
  <si>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</si>
  <si>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</si>
  <si>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</si>
  <si>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</si>
  <si>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</si>
  <si>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</si>
  <si>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</si>
  <si>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</si>
  <si>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</si>
  <si>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</si>
  <si>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</si>
  <si>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</si>
  <si>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</si>
  <si>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</si>
  <si>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</si>
  <si>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</si>
  <si>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</si>
  <si>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</si>
  <si>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</si>
  <si>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</si>
  <si>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</si>
  <si>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</si>
  <si>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</si>
  <si>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</si>
  <si>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</si>
  <si>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</si>
  <si>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</si>
  <si>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</si>
  <si>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</si>
  <si>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</si>
  <si>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</si>
  <si>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</si>
  <si>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</si>
  <si>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</si>
  <si>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</si>
  <si>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</si>
  <si>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</si>
  <si>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</si>
  <si>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</si>
  <si>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</si>
  <si>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</si>
  <si>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</si>
  <si>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</si>
  <si>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</si>
  <si>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</si>
  <si>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</si>
  <si>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</si>
  <si>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</si>
  <si>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</si>
  <si>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</si>
  <si>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</si>
  <si>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</si>
  <si>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</si>
  <si>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</si>
  <si>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</si>
  <si>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</si>
  <si>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</si>
  <si>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</si>
  <si>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</si>
  <si>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</si>
  <si>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</si>
  <si>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</si>
  <si>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</si>
  <si>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</si>
  <si>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</si>
  <si>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</si>
  <si>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</si>
  <si>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</si>
  <si>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</si>
  <si>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</si>
  <si>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</si>
  <si>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</si>
  <si>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</si>
  <si>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</si>
  <si>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</si>
  <si>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</si>
  <si>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</si>
  <si>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</si>
  <si>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</si>
  <si>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</si>
  <si>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</si>
  <si>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</si>
  <si>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</si>
  <si>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</si>
  <si>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</si>
  <si>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</si>
  <si>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</si>
  <si>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</si>
  <si>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</si>
  <si>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</si>
  <si>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</si>
  <si>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</si>
  <si>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</si>
  <si>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</si>
  <si>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</si>
  <si>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</si>
  <si>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</si>
  <si>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</si>
  <si>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</si>
  <si>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</si>
  <si>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</si>
  <si>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</si>
  <si>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</si>
  <si>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</si>
  <si>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</si>
  <si>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</si>
  <si>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</si>
  <si>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</si>
  <si>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</si>
  <si>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</si>
  <si>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</si>
  <si>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</si>
  <si>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</si>
  <si>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</si>
  <si>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</si>
  <si>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</si>
  <si>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</si>
  <si>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</si>
  <si>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</si>
  <si>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</si>
  <si>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</si>
  <si>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</si>
  <si>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</si>
  <si>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</si>
  <si>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</si>
  <si>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</si>
  <si>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</si>
  <si>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</si>
  <si>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</si>
  <si>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</si>
  <si>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</si>
  <si>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</si>
  <si>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</si>
  <si>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</si>
  <si>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</si>
  <si>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</si>
  <si>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</si>
  <si>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</si>
  <si>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</si>
  <si>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</si>
  <si>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</si>
  <si>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</si>
  <si>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</si>
  <si>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</si>
  <si>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</si>
  <si>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</si>
  <si>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</si>
  <si>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</si>
  <si>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</si>
  <si>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</si>
  <si>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</si>
  <si>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</si>
  <si>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</si>
  <si>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</si>
  <si>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</si>
  <si>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</si>
  <si>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</si>
  <si>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</si>
  <si>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</si>
  <si>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</si>
  <si>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</si>
  <si>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</si>
  <si>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</si>
  <si>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</si>
  <si>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</si>
  <si>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</si>
  <si>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</si>
  <si>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</si>
  <si>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</si>
  <si>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</si>
  <si>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</si>
  <si>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</si>
  <si>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</si>
  <si>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</si>
  <si>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</si>
  <si>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</si>
  <si>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</si>
  <si>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</si>
  <si>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</si>
  <si>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</si>
  <si>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</si>
  <si>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</si>
  <si>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</si>
  <si>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</si>
  <si>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</si>
  <si>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</si>
  <si>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</si>
  <si>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</si>
  <si>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</si>
  <si>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</si>
  <si>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</si>
  <si>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</si>
  <si>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</si>
  <si>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</si>
  <si>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</si>
  <si>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</si>
  <si>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</si>
  <si>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</si>
  <si>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</si>
  <si>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</si>
  <si>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</si>
  <si>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</si>
  <si>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</si>
  <si>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</si>
  <si>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</si>
  <si>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</si>
  <si>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</si>
  <si>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</si>
  <si>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</si>
  <si>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</si>
  <si>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</si>
  <si>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</si>
  <si>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</si>
  <si>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</si>
  <si>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</si>
  <si>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</si>
  <si>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</si>
  <si>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</si>
  <si>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</si>
  <si>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</si>
  <si>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</si>
  <si>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</si>
  <si>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</si>
  <si>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</si>
  <si>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</si>
  <si>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</si>
  <si>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</si>
  <si>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</si>
  <si>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</si>
  <si>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</si>
  <si>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</si>
  <si>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</si>
  <si>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</si>
  <si>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</si>
  <si>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</si>
  <si>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</si>
  <si>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</si>
  <si>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</si>
  <si>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</si>
  <si>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</si>
  <si>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</si>
  <si>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</si>
  <si>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</si>
  <si>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</si>
  <si>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</si>
  <si>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</si>
  <si>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</si>
  <si>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</si>
  <si>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</si>
  <si>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</si>
  <si>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</si>
  <si>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</si>
  <si>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</si>
  <si>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</si>
  <si>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</si>
  <si>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</si>
  <si>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</si>
  <si>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</si>
  <si>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</si>
  <si>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</si>
  <si>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</si>
  <si>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</si>
  <si>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</si>
  <si>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</si>
  <si>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</si>
  <si>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</si>
  <si>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</si>
  <si>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</si>
  <si>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</si>
  <si>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</si>
  <si>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</si>
  <si>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</si>
  <si>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</si>
  <si>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</si>
  <si>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</si>
  <si>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</si>
  <si>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</si>
  <si>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</si>
  <si>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</si>
  <si>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</si>
  <si>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</si>
  <si>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</si>
  <si>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</si>
  <si>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</si>
  <si>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</si>
  <si>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</si>
  <si>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</si>
  <si>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</si>
  <si>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</si>
  <si>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</si>
  <si>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</si>
  <si>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</si>
  <si>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</si>
  <si>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</si>
  <si>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</si>
  <si>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</si>
  <si>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</si>
  <si>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</si>
  <si>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</si>
  <si>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</si>
  <si>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</si>
  <si>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</si>
  <si>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</si>
  <si>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</si>
  <si>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</si>
  <si>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</si>
  <si>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</si>
  <si>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</si>
  <si>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</si>
  <si>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</si>
  <si>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</si>
  <si>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</si>
  <si>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</si>
  <si>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</si>
  <si>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</si>
  <si>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</si>
  <si>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</si>
  <si>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</si>
  <si>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</si>
  <si>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</si>
  <si>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</si>
  <si>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</si>
  <si>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</si>
  <si>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</si>
  <si>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</si>
  <si>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</si>
  <si>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</si>
  <si>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</si>
  <si>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</si>
  <si>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</si>
  <si>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</si>
  <si>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</si>
  <si>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</si>
  <si>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</si>
  <si>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</si>
  <si>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</si>
  <si>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</si>
  <si>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</si>
  <si>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</si>
  <si>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</si>
  <si>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</si>
  <si>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</si>
  <si>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</si>
  <si>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</si>
  <si>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</si>
  <si>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</si>
  <si>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</si>
  <si>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</si>
  <si>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</si>
  <si>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</si>
  <si>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</si>
  <si>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</si>
  <si>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</si>
  <si>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</si>
  <si>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</si>
  <si>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</si>
  <si>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</si>
  <si>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</si>
  <si>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</si>
  <si>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</si>
  <si>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</si>
  <si>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</si>
  <si>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</si>
  <si>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</si>
  <si>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</si>
  <si>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</si>
  <si>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</si>
  <si>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</si>
  <si>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</si>
  <si>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</si>
  <si>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</si>
  <si>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</si>
  <si>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</si>
  <si>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</si>
  <si>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</si>
  <si>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</si>
  <si>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</si>
  <si>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</si>
  <si>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</si>
  <si>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</si>
  <si>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</si>
  <si>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</si>
  <si>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</si>
  <si>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</si>
  <si>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</si>
  <si>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</si>
  <si>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</si>
  <si>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</si>
  <si>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</si>
  <si>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</si>
  <si>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</si>
  <si>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</si>
  <si>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</si>
  <si>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</si>
  <si>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</si>
  <si>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</si>
  <si>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</si>
  <si>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</si>
  <si>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</si>
  <si>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</si>
  <si>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</si>
  <si>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</si>
  <si>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</si>
  <si>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</si>
  <si>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</si>
  <si>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</si>
  <si>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</si>
  <si>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</si>
  <si>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</si>
  <si>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</si>
  <si>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</si>
  <si>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</si>
  <si>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</si>
  <si>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</si>
  <si>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</si>
  <si>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</si>
  <si>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</si>
  <si>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</si>
  <si>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</si>
  <si>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</si>
  <si>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</si>
  <si>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</si>
  <si>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</si>
  <si>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</si>
  <si>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</si>
  <si>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</si>
  <si>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</si>
  <si>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</si>
  <si>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</si>
  <si>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</si>
  <si>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</si>
  <si>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</si>
  <si>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</si>
  <si>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</si>
  <si>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</si>
  <si>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</si>
  <si>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</si>
  <si>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</si>
  <si>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</si>
  <si>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</si>
  <si>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</si>
  <si>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</si>
  <si>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</si>
  <si>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</si>
  <si>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</si>
  <si>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</si>
  <si>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</si>
  <si>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</si>
  <si>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</si>
  <si>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</si>
  <si>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</si>
  <si>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</si>
  <si>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</si>
  <si>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</si>
  <si>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</si>
  <si>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</si>
  <si>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</si>
  <si>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</si>
  <si>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</si>
  <si>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</si>
  <si>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</si>
  <si>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</si>
  <si>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</si>
  <si>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</si>
  <si>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</si>
  <si>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</si>
  <si>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</si>
  <si>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</si>
  <si>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</si>
  <si>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</si>
  <si>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</si>
  <si>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</si>
  <si>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</si>
  <si>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</si>
  <si>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</si>
  <si>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</si>
  <si>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</si>
  <si>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</si>
  <si>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</si>
  <si>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</si>
  <si>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</si>
  <si>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</si>
  <si>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</si>
  <si>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</si>
  <si>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</si>
  <si>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</si>
  <si>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</si>
  <si>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</si>
  <si>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</si>
  <si>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</si>
  <si>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</si>
  <si>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</si>
  <si>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</si>
  <si>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</si>
  <si>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</si>
  <si>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</si>
  <si>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</si>
  <si>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</si>
  <si>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</si>
  <si>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</si>
  <si>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</si>
  <si>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</si>
  <si>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</si>
  <si>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</si>
  <si>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</si>
  <si>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</si>
  <si>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</si>
  <si>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</si>
  <si>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</si>
  <si>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</si>
  <si>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</si>
  <si>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</si>
  <si>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</si>
  <si>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</si>
  <si>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</si>
  <si>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</si>
  <si>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</si>
  <si>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</si>
  <si>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</si>
  <si>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</si>
  <si>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</si>
  <si>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</si>
  <si>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</si>
  <si>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</si>
  <si>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</si>
  <si>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</si>
  <si>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</si>
  <si>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</si>
  <si>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</si>
  <si>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</si>
  <si>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</si>
  <si>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</si>
  <si>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</si>
  <si>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</si>
  <si>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</si>
  <si>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</si>
  <si>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</si>
  <si>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</si>
  <si>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</si>
  <si>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</si>
  <si>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</si>
  <si>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</si>
  <si>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</si>
  <si>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</si>
  <si>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</si>
  <si>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</si>
  <si>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</si>
  <si>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</si>
  <si>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</si>
  <si>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</si>
  <si>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</si>
  <si>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</si>
  <si>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</si>
  <si>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</si>
  <si>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</si>
  <si>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</si>
  <si>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</si>
  <si>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</si>
  <si>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</si>
  <si>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</si>
  <si>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</si>
  <si>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</si>
  <si>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</si>
  <si>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</si>
  <si>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</si>
  <si>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</si>
  <si>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</si>
  <si>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</si>
  <si>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</si>
  <si>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</si>
  <si>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</si>
  <si>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</si>
  <si>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</si>
  <si>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</si>
  <si>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</si>
  <si>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</si>
  <si>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</si>
  <si>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</si>
  <si>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</si>
  <si>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</si>
  <si>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</si>
  <si>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</si>
  <si>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</si>
  <si>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</si>
  <si>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</si>
  <si>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</si>
  <si>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</si>
  <si>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</si>
  <si>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</si>
  <si>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</si>
  <si>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</si>
  <si>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</si>
  <si>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</si>
  <si>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</si>
  <si>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</si>
  <si>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</si>
  <si>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</si>
  <si>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</si>
  <si>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</si>
  <si>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</si>
  <si>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</si>
  <si>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</si>
  <si>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</si>
  <si>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</si>
  <si>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</si>
  <si>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</si>
  <si>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</si>
  <si>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</si>
  <si>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</si>
  <si>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</si>
  <si>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</si>
  <si>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</si>
  <si>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</si>
  <si>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</si>
  <si>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</si>
  <si>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</si>
  <si>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</si>
  <si>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</si>
  <si>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</si>
  <si>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</si>
  <si>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</si>
  <si>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</si>
  <si>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</si>
  <si>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</si>
  <si>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</si>
  <si>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</si>
  <si>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</si>
  <si>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</si>
  <si>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</si>
  <si>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</si>
  <si>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</si>
  <si>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</si>
  <si>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</si>
  <si>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</si>
  <si>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</si>
  <si>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</si>
  <si>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</si>
  <si>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</si>
  <si>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</si>
  <si>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</si>
  <si>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</si>
  <si>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</si>
  <si>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</si>
  <si>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</si>
  <si>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</si>
  <si>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</si>
  <si>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</si>
  <si>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</si>
  <si>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</si>
  <si>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</si>
  <si>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</si>
  <si>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</si>
  <si>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</si>
  <si>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</si>
  <si>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</si>
  <si>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</si>
  <si>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</si>
  <si>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</si>
  <si>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</si>
  <si>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</si>
  <si>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</si>
  <si>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</si>
  <si>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</si>
  <si>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</si>
  <si>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</si>
  <si>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</si>
  <si>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</si>
  <si>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</si>
  <si>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</si>
  <si>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</si>
  <si>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</si>
  <si>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</si>
  <si>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</si>
  <si>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</si>
  <si>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</si>
  <si>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</si>
  <si>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</si>
  <si>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</si>
  <si>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</si>
  <si>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</si>
  <si>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</si>
  <si>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</si>
  <si>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</si>
  <si>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</si>
  <si>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</si>
  <si>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</si>
  <si>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</si>
  <si>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</si>
  <si>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</si>
  <si>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</si>
  <si>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</si>
  <si>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</si>
  <si>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</si>
  <si>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</si>
  <si>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</si>
  <si>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</si>
  <si>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</si>
  <si>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</si>
  <si>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</si>
  <si>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</si>
  <si>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</si>
  <si>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</si>
  <si>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</si>
  <si>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</si>
  <si>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</si>
  <si>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</si>
  <si>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</si>
  <si>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</si>
  <si>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</si>
  <si>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</si>
  <si>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</si>
  <si>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</si>
  <si>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</si>
  <si>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</si>
  <si>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</si>
  <si>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</si>
  <si>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</si>
  <si>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</si>
  <si>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</si>
  <si>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</si>
  <si>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</si>
  <si>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</si>
  <si>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</si>
  <si>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</si>
  <si>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</si>
  <si>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</si>
  <si>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</si>
  <si>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</si>
  <si>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</si>
  <si>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</si>
  <si>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</si>
  <si>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</si>
  <si>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</si>
  <si>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</si>
  <si>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</si>
  <si>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</si>
  <si>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</si>
  <si>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</si>
  <si>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</si>
  <si>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</si>
  <si>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</si>
  <si>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</si>
  <si>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</si>
  <si>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</si>
  <si>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</si>
  <si>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</si>
  <si>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</si>
  <si>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</si>
  <si>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</si>
  <si>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</si>
  <si>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</si>
  <si>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</si>
  <si>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</si>
  <si>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</si>
  <si>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</si>
  <si>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</si>
  <si>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</si>
  <si>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</si>
  <si>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</si>
  <si>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</si>
  <si>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</si>
  <si>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</si>
  <si>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</si>
  <si>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</si>
  <si>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</si>
  <si>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</si>
  <si>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</si>
  <si>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</si>
  <si>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</si>
  <si>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</si>
  <si>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</si>
  <si>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</si>
  <si>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</si>
  <si>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</si>
  <si>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</si>
  <si>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</si>
  <si>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</si>
  <si>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</si>
  <si>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</si>
  <si>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</si>
  <si>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</si>
  <si>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</si>
  <si>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</si>
  <si>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</si>
  <si>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</si>
  <si>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</si>
  <si>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</si>
  <si>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</si>
  <si>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</si>
  <si>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</si>
  <si>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</si>
  <si>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</si>
  <si>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</si>
  <si>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</si>
  <si>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</si>
  <si>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</si>
  <si>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</si>
  <si>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</si>
  <si>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</si>
  <si>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</si>
  <si>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</si>
  <si>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</si>
  <si>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</si>
  <si>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</si>
  <si>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</si>
  <si>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</si>
  <si>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</si>
  <si>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</si>
  <si>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</si>
  <si>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</si>
  <si>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</si>
  <si>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</si>
  <si>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</si>
  <si>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</si>
  <si>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</si>
  <si>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</si>
  <si>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</si>
  <si>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</si>
  <si>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</si>
  <si>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</si>
  <si>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</si>
  <si>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</si>
  <si>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</si>
  <si>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</si>
  <si>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</si>
  <si>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</si>
  <si>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</si>
  <si>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</si>
  <si>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</si>
  <si>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</si>
  <si>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</si>
  <si>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</si>
  <si>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</si>
  <si>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</si>
  <si>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</si>
  <si>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</si>
  <si>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</si>
  <si>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</si>
  <si>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</si>
  <si>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</si>
  <si>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</si>
  <si>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</si>
  <si>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</si>
  <si>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</si>
  <si>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</si>
  <si>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</si>
  <si>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</si>
  <si>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</si>
  <si>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</si>
  <si>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</si>
  <si>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</si>
  <si>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</si>
  <si>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</si>
  <si>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</si>
  <si>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</si>
  <si>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</si>
  <si>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</si>
  <si>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</si>
  <si>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</si>
  <si>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</si>
  <si>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</si>
  <si>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</si>
  <si>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</si>
  <si>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</si>
  <si>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</si>
  <si>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</si>
  <si>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</si>
  <si>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</si>
  <si>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</si>
  <si>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</si>
  <si>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</si>
  <si>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</si>
  <si>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</si>
  <si>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</si>
  <si>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</si>
  <si>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</si>
  <si>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</si>
  <si>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</si>
  <si>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</si>
  <si>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</si>
  <si>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</si>
  <si>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</si>
  <si>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</si>
  <si>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</si>
  <si>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</si>
  <si>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</si>
  <si>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</si>
  <si>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</si>
  <si>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</si>
  <si>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</si>
  <si>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</si>
  <si>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</si>
  <si>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</si>
  <si>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</si>
  <si>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</si>
  <si>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</si>
  <si>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</si>
  <si>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</si>
  <si>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</si>
  <si>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</si>
  <si>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</si>
  <si>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</si>
  <si>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</si>
  <si>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</si>
  <si>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</si>
  <si>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</si>
  <si>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</si>
  <si>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</si>
  <si>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</si>
  <si>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</si>
  <si>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</si>
  <si>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</si>
  <si>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</si>
  <si>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</si>
  <si>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</si>
  <si>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</si>
  <si>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</si>
  <si>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</si>
  <si>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</si>
  <si>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</si>
  <si>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</si>
  <si>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</si>
  <si>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</si>
  <si>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</si>
  <si>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</si>
  <si>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</si>
  <si>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</si>
  <si>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</si>
  <si>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</si>
  <si>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</si>
  <si>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</si>
  <si>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</si>
  <si>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</si>
  <si>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</si>
  <si>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</si>
  <si>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</si>
  <si>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</si>
  <si>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</si>
  <si>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</si>
  <si>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</si>
  <si>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</si>
  <si>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</si>
  <si>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</si>
  <si>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</si>
  <si>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</si>
  <si>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</si>
  <si>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</si>
  <si>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</si>
  <si>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</si>
  <si>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</si>
  <si>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</si>
  <si>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</si>
  <si>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</si>
  <si>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</si>
  <si>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</si>
  <si>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</si>
  <si>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</si>
  <si>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</si>
  <si>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</si>
  <si>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</si>
  <si>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</si>
  <si>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</si>
  <si>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</si>
  <si>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</si>
  <si>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</si>
  <si>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</si>
  <si>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</si>
  <si>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</si>
  <si>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</si>
  <si>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</si>
  <si>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</si>
  <si>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</si>
  <si>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</si>
  <si>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</si>
  <si>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</si>
  <si>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</si>
  <si>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</si>
  <si>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</si>
  <si>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</si>
  <si>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</si>
  <si>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</si>
  <si>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</si>
  <si>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</si>
  <si>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</si>
  <si>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</si>
  <si>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</si>
  <si>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</si>
  <si>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</si>
  <si>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</si>
  <si>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</si>
  <si>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</si>
  <si>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</si>
  <si>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</si>
  <si>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</si>
  <si>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</si>
  <si>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</si>
  <si>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</si>
  <si>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</si>
  <si>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</si>
  <si>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</si>
  <si>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2018 y al 30 de marzo de 2019 (b)</t>
  </si>
  <si>
    <t>Del 1 de enero al 30 de marzo de 2019 (b)</t>
  </si>
  <si>
    <t>JUNTA DE AGUA POTABLE DRENAJE ALCANTARILLADO Y SANEAMIENTO DEL MUNICIPIO DE IRAPUATO GTO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</si>
  <si>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</si>
  <si>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</si>
  <si>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</si>
  <si>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</si>
  <si>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</si>
  <si>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</si>
  <si>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</si>
  <si>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</si>
  <si>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</si>
  <si>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</si>
  <si>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</si>
  <si>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</si>
  <si>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</si>
  <si>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</si>
  <si>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</si>
  <si>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</si>
  <si>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</si>
  <si>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COMBUSTIBLES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</si>
  <si>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</si>
  <si>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</si>
  <si>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</si>
  <si>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</si>
  <si>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</si>
  <si>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</si>
  <si>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</si>
  <si>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</si>
  <si>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</si>
  <si>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</si>
  <si>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</si>
  <si>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DISTRITO 3</t>
  </si>
  <si>
    <t>OPERACION DE PIPAS</t>
  </si>
  <si>
    <t>MANTENIMIENTO DE DRENAJE</t>
  </si>
  <si>
    <t>OPTIMIZACION DE AGUA</t>
  </si>
  <si>
    <t>OPERACION Y MANTENIMIENTO DE REDES Y CARCAMOS</t>
  </si>
  <si>
    <t>OPERACION Y MANTTO DE POZOS</t>
  </si>
  <si>
    <t>DRENAJE Y ALCANTARILLADO</t>
  </si>
  <si>
    <t>OPERACION DE CARCAMOS</t>
  </si>
  <si>
    <t>MANTENIMIENTO ELECTROMECANICO CARCAMOS</t>
  </si>
  <si>
    <t>MANTENIMIENTO CANALES</t>
  </si>
  <si>
    <t>OPERACIÓN DE REDES DE DISTRIBUCION</t>
  </si>
  <si>
    <t xml:space="preserve">MANTENIMIENTO DE REDES </t>
  </si>
  <si>
    <t>GERENCIA DE INGENIERIA Y DISEÑO</t>
  </si>
  <si>
    <t>AREA DE PROYECTOS</t>
  </si>
  <si>
    <t>CONSTRUCCION DE OBRAS</t>
  </si>
  <si>
    <t>COSTOS</t>
  </si>
  <si>
    <t>SUPERVISION DE OBRA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</si>
  <si>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</si>
  <si>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</si>
  <si>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</si>
  <si>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</si>
  <si>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</si>
  <si>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</si>
  <si>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OPERACIÓN DE LA PTAR</t>
  </si>
  <si>
    <t>MANTENIMIENTO ELECTROMECANICO PTAR</t>
  </si>
  <si>
    <t>OPERACION DE PLANTAS POTABILIZADORAS</t>
  </si>
  <si>
    <t>REMANENTES DE EJERCICIOS ANTERIORES</t>
  </si>
  <si>
    <t>PARTICIPACIONES RECIBIDAS EJERCICIO ANTERIOR</t>
  </si>
  <si>
    <t>PARTICIPACIONES POR RECIBIR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</si>
</sst>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9" t="s">
        <v>821</v>
      </c>
      <c r="B1" s="150"/>
      <c r="C1" s="150"/>
      <c r="D1" s="150"/>
      <c r="E1" s="151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2" t="s">
        <v>3296</v>
      </c>
      <c r="D3" s="152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workbookViewId="0">
      <selection activeCell="A7" sqref="A7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5" t="s">
        <v>534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5"/>
    </row>
    <row r="3" spans="1:11" x14ac:dyDescent="0.25">
      <c r="A3" s="156" t="s">
        <v>166</v>
      </c>
      <c r="B3" s="157"/>
      <c r="C3" s="157"/>
      <c r="D3" s="158"/>
    </row>
    <row r="4" spans="1:11" x14ac:dyDescent="0.25">
      <c r="A4" s="159" t="str">
        <f>TRIMESTRE</f>
        <v>Del 1 de enero al 30 de marzo de 2019 (b)</v>
      </c>
      <c r="B4" s="160"/>
      <c r="C4" s="160"/>
      <c r="D4" s="161"/>
    </row>
    <row r="5" spans="1:11" x14ac:dyDescent="0.25">
      <c r="A5" s="162" t="s">
        <v>118</v>
      </c>
      <c r="B5" s="163"/>
      <c r="C5" s="163"/>
      <c r="D5" s="164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586603556.61000001</v>
      </c>
      <c r="C8" s="40">
        <f t="shared" ref="C8:D8" si="0">SUM(C9:C11)</f>
        <v>133617284.13</v>
      </c>
      <c r="D8" s="40">
        <f t="shared" si="0"/>
        <v>133617284.13</v>
      </c>
    </row>
    <row r="9" spans="1:11" x14ac:dyDescent="0.25">
      <c r="A9" s="53" t="s">
        <v>169</v>
      </c>
      <c r="B9" s="23">
        <v>449901727.81</v>
      </c>
      <c r="C9" s="23">
        <v>133317284.13</v>
      </c>
      <c r="D9" s="23">
        <v>133317284.13</v>
      </c>
    </row>
    <row r="10" spans="1:11" x14ac:dyDescent="0.25">
      <c r="A10" s="53" t="s">
        <v>170</v>
      </c>
      <c r="B10" s="23">
        <v>136701828.80000001</v>
      </c>
      <c r="C10" s="23">
        <v>300000</v>
      </c>
      <c r="D10" s="23">
        <v>300000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587362642.2299999</v>
      </c>
      <c r="C13" s="40">
        <f t="shared" ref="C13:D13" si="2">C14+C15</f>
        <v>67983988.180000007</v>
      </c>
      <c r="D13" s="40">
        <f t="shared" si="2"/>
        <v>67586799.150000006</v>
      </c>
    </row>
    <row r="14" spans="1:11" x14ac:dyDescent="0.25">
      <c r="A14" s="53" t="s">
        <v>172</v>
      </c>
      <c r="B14" s="23">
        <v>376307587.42999995</v>
      </c>
      <c r="C14" s="23">
        <v>67219845.180000007</v>
      </c>
      <c r="D14" s="23">
        <v>66822656.149999999</v>
      </c>
    </row>
    <row r="15" spans="1:11" x14ac:dyDescent="0.25">
      <c r="A15" s="53" t="s">
        <v>173</v>
      </c>
      <c r="B15" s="23">
        <v>211055054.79999998</v>
      </c>
      <c r="C15" s="23">
        <v>764143</v>
      </c>
      <c r="D15" s="23">
        <v>764143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35319572.519999988</v>
      </c>
      <c r="D17" s="40">
        <f>D18+D19</f>
        <v>35319572.519999988</v>
      </c>
    </row>
    <row r="18" spans="1:4" x14ac:dyDescent="0.25">
      <c r="A18" s="53" t="s">
        <v>175</v>
      </c>
      <c r="B18" s="119">
        <v>0</v>
      </c>
      <c r="C18" s="23">
        <v>1886004.19</v>
      </c>
      <c r="D18" s="23">
        <v>1886004.19</v>
      </c>
    </row>
    <row r="19" spans="1:4" x14ac:dyDescent="0.25">
      <c r="A19" s="53" t="s">
        <v>176</v>
      </c>
      <c r="B19" s="119">
        <v>0</v>
      </c>
      <c r="C19" s="23">
        <v>33433568.329999991</v>
      </c>
      <c r="D19" s="117">
        <v>33433568.329999991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-759085.61999988556</v>
      </c>
      <c r="C21" s="40">
        <f t="shared" ref="C21:D21" si="4">C8-C13+C17</f>
        <v>100952868.46999997</v>
      </c>
      <c r="D21" s="40">
        <f t="shared" si="4"/>
        <v>101350057.49999997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-759085.61999988556</v>
      </c>
      <c r="C23" s="40">
        <f t="shared" ref="C23:D23" si="5">C21-C11</f>
        <v>100952868.46999997</v>
      </c>
      <c r="D23" s="40">
        <f t="shared" si="5"/>
        <v>101350057.49999997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-759085.61999988556</v>
      </c>
      <c r="C25" s="40">
        <f t="shared" ref="C25" si="6">C23-C17</f>
        <v>65633295.949999981</v>
      </c>
      <c r="D25" s="40">
        <f>D23-D17</f>
        <v>66030484.979999982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-759085.61999988556</v>
      </c>
      <c r="C33" s="61">
        <f t="shared" ref="C33:D33" si="8">C25+C29</f>
        <v>65633295.949999981</v>
      </c>
      <c r="D33" s="61">
        <f t="shared" si="8"/>
        <v>66030484.979999982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449901727.81</v>
      </c>
      <c r="C48" s="124">
        <f>C9</f>
        <v>133317284.13</v>
      </c>
      <c r="D48" s="124">
        <f t="shared" ref="D48" si="12">D9</f>
        <v>133317284.13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376307587.42999995</v>
      </c>
      <c r="C53" s="60">
        <f t="shared" ref="C53:D53" si="14">C14</f>
        <v>67219845.180000007</v>
      </c>
      <c r="D53" s="60">
        <f t="shared" si="14"/>
        <v>66822656.149999999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1886004.19</v>
      </c>
      <c r="D55" s="60">
        <f t="shared" si="15"/>
        <v>1886004.19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73594140.380000055</v>
      </c>
      <c r="C57" s="61">
        <f>C48+C49-C53+C55</f>
        <v>67983443.139999986</v>
      </c>
      <c r="D57" s="61">
        <f t="shared" ref="D57" si="16">D48+D49-D53+D55</f>
        <v>68380632.170000002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73594140.380000055</v>
      </c>
      <c r="C59" s="61">
        <f t="shared" ref="C59:D59" si="17">C57-C49</f>
        <v>67983443.139999986</v>
      </c>
      <c r="D59" s="61">
        <f t="shared" si="17"/>
        <v>68380632.170000002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136701828.80000001</v>
      </c>
      <c r="C63" s="122">
        <f t="shared" ref="C63:D63" si="18">C10</f>
        <v>300000</v>
      </c>
      <c r="D63" s="122">
        <f t="shared" si="18"/>
        <v>300000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211055054.79999998</v>
      </c>
      <c r="C68" s="23">
        <f t="shared" ref="C68:D68" si="20">C15</f>
        <v>764143</v>
      </c>
      <c r="D68" s="23">
        <f t="shared" si="20"/>
        <v>764143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33433568.329999991</v>
      </c>
      <c r="D70" s="23">
        <f t="shared" si="21"/>
        <v>33433568.329999991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-74353225.99999997</v>
      </c>
      <c r="C72" s="40">
        <f t="shared" ref="C72:D72" si="22">C63+C64-C68+C70</f>
        <v>32969425.329999991</v>
      </c>
      <c r="D72" s="40">
        <f t="shared" si="22"/>
        <v>32969425.329999991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-74353225.99999997</v>
      </c>
      <c r="C74" s="40">
        <f>C72-C64</f>
        <v>32969425.329999991</v>
      </c>
      <c r="D74" s="40">
        <f t="shared" ref="D74" si="23">D72-D64</f>
        <v>32969425.329999991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586603556.61000001</v>
      </c>
      <c r="Q2" s="18">
        <f>'Formato 4'!C8</f>
        <v>133617284.13</v>
      </c>
      <c r="R2" s="18">
        <f>'Formato 4'!D8</f>
        <v>133617284.13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449901727.81</v>
      </c>
      <c r="Q3" s="18">
        <f>'Formato 4'!C9</f>
        <v>133317284.13</v>
      </c>
      <c r="R3" s="18">
        <f>'Formato 4'!D9</f>
        <v>133317284.13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136701828.80000001</v>
      </c>
      <c r="Q4" s="18">
        <f>'Formato 4'!C10</f>
        <v>300000</v>
      </c>
      <c r="R4" s="18">
        <f>'Formato 4'!D10</f>
        <v>300000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587362642.2299999</v>
      </c>
      <c r="Q6" s="18">
        <f>'Formato 4'!C13</f>
        <v>67983988.180000007</v>
      </c>
      <c r="R6" s="18">
        <f>'Formato 4'!D13</f>
        <v>67586799.150000006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376307587.42999995</v>
      </c>
      <c r="Q7" s="18">
        <f>'Formato 4'!C14</f>
        <v>67219845.180000007</v>
      </c>
      <c r="R7" s="18">
        <f>'Formato 4'!D14</f>
        <v>66822656.149999999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211055054.79999998</v>
      </c>
      <c r="Q8" s="18">
        <f>'Formato 4'!C15</f>
        <v>764143</v>
      </c>
      <c r="R8" s="18">
        <f>'Formato 4'!D15</f>
        <v>764143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35319572.519999988</v>
      </c>
      <c r="R9" s="18">
        <f>'Formato 4'!D17</f>
        <v>35319572.519999988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1886004.19</v>
      </c>
      <c r="R10" s="18">
        <f>'Formato 4'!D18</f>
        <v>1886004.19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33433568.329999991</v>
      </c>
      <c r="R11" s="18">
        <f>'Formato 4'!D19</f>
        <v>33433568.329999991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-759085.61999988556</v>
      </c>
      <c r="Q12" s="18">
        <f>'Formato 4'!C21</f>
        <v>100952868.46999997</v>
      </c>
      <c r="R12" s="18">
        <f>'Formato 4'!D21</f>
        <v>101350057.49999997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-759085.61999988556</v>
      </c>
      <c r="Q13" s="18">
        <f>'Formato 4'!C23</f>
        <v>100952868.46999997</v>
      </c>
      <c r="R13" s="18">
        <f>'Formato 4'!D23</f>
        <v>101350057.49999997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-759085.61999988556</v>
      </c>
      <c r="Q14" s="18">
        <f>'Formato 4'!C25</f>
        <v>65633295.949999981</v>
      </c>
      <c r="R14" s="18">
        <f>'Formato 4'!D25</f>
        <v>66030484.979999982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-759085.61999988556</v>
      </c>
      <c r="Q18">
        <f>'Formato 4'!C33</f>
        <v>65633295.949999981</v>
      </c>
      <c r="R18">
        <f>'Formato 4'!D33</f>
        <v>66030484.979999982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449901727.81</v>
      </c>
      <c r="Q26">
        <f>'Formato 4'!C48</f>
        <v>133317284.13</v>
      </c>
      <c r="R26">
        <f>'Formato 4'!D48</f>
        <v>133317284.13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376307587.42999995</v>
      </c>
      <c r="Q30">
        <f>'Formato 4'!C53</f>
        <v>67219845.180000007</v>
      </c>
      <c r="R30">
        <f>'Formato 4'!D53</f>
        <v>66822656.149999999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1886004.19</v>
      </c>
      <c r="R31">
        <f>'Formato 4'!D55</f>
        <v>1886004.19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136701828.80000001</v>
      </c>
      <c r="Q32">
        <f>'Formato 4'!C63</f>
        <v>300000</v>
      </c>
      <c r="R32">
        <f>'Formato 4'!D63</f>
        <v>300000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211055054.79999998</v>
      </c>
      <c r="Q36">
        <f>'Formato 4'!C68</f>
        <v>764143</v>
      </c>
      <c r="R36">
        <f>'Formato 4'!D68</f>
        <v>764143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33433568.329999991</v>
      </c>
      <c r="R37">
        <f>'Formato 4'!D70</f>
        <v>33433568.329999991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-74353225.99999997</v>
      </c>
      <c r="Q38">
        <f>'Formato 4'!C72</f>
        <v>32969425.329999991</v>
      </c>
      <c r="R38">
        <f>'Formato 4'!D72</f>
        <v>32969425.329999991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-74353225.99999997</v>
      </c>
      <c r="Q39">
        <f>'Formato 4'!C74</f>
        <v>32969425.329999991</v>
      </c>
      <c r="R39">
        <f>'Formato 4'!D74</f>
        <v>32969425.329999991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topLeftCell="A4" workbookViewId="0">
      <selection activeCell="C18" sqref="C18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x14ac:dyDescent="0.25">
      <c r="A4" s="159" t="str">
        <f>TRIMESTRE</f>
        <v>Del 1 de enero al 30 de marzo de 2019 (b)</v>
      </c>
      <c r="B4" s="160"/>
      <c r="C4" s="160"/>
      <c r="D4" s="160"/>
      <c r="E4" s="160"/>
      <c r="F4" s="160"/>
      <c r="G4" s="161"/>
    </row>
    <row r="5" spans="1:8" x14ac:dyDescent="0.2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2194221.4074999997</v>
      </c>
      <c r="C11" s="60">
        <v>0</v>
      </c>
      <c r="D11" s="60">
        <f>+B11+C11</f>
        <v>2194221.4074999997</v>
      </c>
      <c r="E11" s="60">
        <v>548264.93999999994</v>
      </c>
      <c r="F11" s="60">
        <v>548264.93999999994</v>
      </c>
      <c r="G11" s="60">
        <f t="shared" si="0"/>
        <v>-1645956.4674999998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27136831.210000001</v>
      </c>
      <c r="C13" s="60">
        <v>0</v>
      </c>
      <c r="D13" s="60">
        <f>+B13+C13</f>
        <v>27136831.210000001</v>
      </c>
      <c r="E13" s="60">
        <v>6976687.2599999998</v>
      </c>
      <c r="F13" s="60">
        <v>6976687.2599999998</v>
      </c>
      <c r="G13" s="60">
        <f t="shared" si="0"/>
        <v>-20160143.950000003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420570675.21565235</v>
      </c>
      <c r="C15" s="60">
        <v>284851239.43000001</v>
      </c>
      <c r="D15" s="60">
        <f>+B15+C15</f>
        <v>705421914.64565229</v>
      </c>
      <c r="E15" s="60">
        <v>138533151.68000001</v>
      </c>
      <c r="F15" s="60">
        <v>138533151.68000001</v>
      </c>
      <c r="G15" s="60">
        <f t="shared" si="0"/>
        <v>-282037523.53565234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f t="shared" ref="F35" si="5">F36</f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449901727.83315235</v>
      </c>
      <c r="C41" s="61">
        <f t="shared" ref="C41:E41" si="7">SUM(C9,C10,C11,C12,C13,C14,C15,C16,C28,C34,C35,C37)</f>
        <v>284851239.43000001</v>
      </c>
      <c r="D41" s="61">
        <f t="shared" si="7"/>
        <v>734752967.26315224</v>
      </c>
      <c r="E41" s="61">
        <f t="shared" si="7"/>
        <v>146058103.88</v>
      </c>
      <c r="F41" s="61">
        <f>SUM(F9,F10,F11,F12,F13,F14,F15,F16,F28,F34,F35,F37)</f>
        <v>146058103.88</v>
      </c>
      <c r="G41" s="61">
        <f>SUM(G9,G10,G11,G12,G13,G14,G15,G16,G28,G34,G35,G37)</f>
        <v>-303843623.95315236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8">SUM(C46:C53)</f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1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136701828.80000001</v>
      </c>
      <c r="C62" s="60">
        <v>28535158.25</v>
      </c>
      <c r="D62" s="60">
        <f>+B62+C62</f>
        <v>165236987.05000001</v>
      </c>
      <c r="E62" s="60">
        <v>15755819.779999999</v>
      </c>
      <c r="F62" s="60">
        <v>15755819.779999999</v>
      </c>
      <c r="G62" s="60">
        <f>F62-B62</f>
        <v>-120946009.02000001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136701828.80000001</v>
      </c>
      <c r="C65" s="61">
        <f t="shared" ref="C65:G65" si="13">C45+C54+C59+C62+C63</f>
        <v>28535158.25</v>
      </c>
      <c r="D65" s="61">
        <f t="shared" si="13"/>
        <v>165236987.05000001</v>
      </c>
      <c r="E65" s="61">
        <f t="shared" si="13"/>
        <v>15755819.779999999</v>
      </c>
      <c r="F65" s="61">
        <f t="shared" si="13"/>
        <v>15755819.779999999</v>
      </c>
      <c r="G65" s="61">
        <f t="shared" si="13"/>
        <v>-120946009.02000001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586603556.63315237</v>
      </c>
      <c r="C70" s="61">
        <f t="shared" ref="C70:G70" si="15">C41+C65+C67</f>
        <v>313386397.68000001</v>
      </c>
      <c r="D70" s="61">
        <f t="shared" si="15"/>
        <v>899989954.31315231</v>
      </c>
      <c r="E70" s="61">
        <f t="shared" si="15"/>
        <v>161813923.66</v>
      </c>
      <c r="F70" s="61">
        <f t="shared" si="15"/>
        <v>161813923.66</v>
      </c>
      <c r="G70" s="61">
        <f t="shared" si="15"/>
        <v>-424789632.9731524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2194221.4074999997</v>
      </c>
      <c r="Q5" s="18">
        <f>'Formato 5'!C11</f>
        <v>0</v>
      </c>
      <c r="R5" s="18">
        <f>'Formato 5'!D11</f>
        <v>2194221.4074999997</v>
      </c>
      <c r="S5" s="18">
        <f>'Formato 5'!E11</f>
        <v>548264.93999999994</v>
      </c>
      <c r="T5" s="18">
        <f>'Formato 5'!F11</f>
        <v>548264.93999999994</v>
      </c>
      <c r="U5" s="18">
        <f>'Formato 5'!G11</f>
        <v>-1645956.4674999998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27136831.210000001</v>
      </c>
      <c r="Q7" s="18">
        <f>'Formato 5'!C13</f>
        <v>0</v>
      </c>
      <c r="R7" s="18">
        <f>'Formato 5'!D13</f>
        <v>27136831.210000001</v>
      </c>
      <c r="S7" s="18">
        <f>'Formato 5'!E13</f>
        <v>6976687.2599999998</v>
      </c>
      <c r="T7" s="18">
        <f>'Formato 5'!F13</f>
        <v>6976687.2599999998</v>
      </c>
      <c r="U7" s="18">
        <f>'Formato 5'!G13</f>
        <v>-20160143.950000003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420570675.21565235</v>
      </c>
      <c r="Q9" s="18">
        <f>'Formato 5'!C15</f>
        <v>284851239.43000001</v>
      </c>
      <c r="R9" s="18">
        <f>'Formato 5'!D15</f>
        <v>705421914.64565229</v>
      </c>
      <c r="S9" s="18">
        <f>'Formato 5'!E15</f>
        <v>138533151.68000001</v>
      </c>
      <c r="T9" s="18">
        <f>'Formato 5'!F15</f>
        <v>138533151.68000001</v>
      </c>
      <c r="U9" s="18">
        <f>'Formato 5'!G15</f>
        <v>-282037523.53565234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449901727.83315235</v>
      </c>
      <c r="Q34">
        <f>'Formato 5'!C41</f>
        <v>284851239.43000001</v>
      </c>
      <c r="R34">
        <f>'Formato 5'!D41</f>
        <v>734752967.26315224</v>
      </c>
      <c r="S34">
        <f>'Formato 5'!E41</f>
        <v>146058103.88</v>
      </c>
      <c r="T34">
        <f>'Formato 5'!F41</f>
        <v>146058103.88</v>
      </c>
      <c r="U34">
        <f>'Formato 5'!G41</f>
        <v>-303843623.95315236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136701828.80000001</v>
      </c>
      <c r="Q54">
        <f>'Formato 5'!C62</f>
        <v>28535158.25</v>
      </c>
      <c r="R54">
        <f>'Formato 5'!D62</f>
        <v>165236987.05000001</v>
      </c>
      <c r="S54">
        <f>'Formato 5'!E62</f>
        <v>15755819.779999999</v>
      </c>
      <c r="T54">
        <f>'Formato 5'!F62</f>
        <v>15755819.779999999</v>
      </c>
      <c r="U54">
        <f>'Formato 5'!G62</f>
        <v>-120946009.02000001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136701828.80000001</v>
      </c>
      <c r="Q56">
        <f>'Formato 5'!C65</f>
        <v>28535158.25</v>
      </c>
      <c r="R56">
        <f>'Formato 5'!D65</f>
        <v>165236987.05000001</v>
      </c>
      <c r="S56">
        <f>'Formato 5'!E65</f>
        <v>15755819.779999999</v>
      </c>
      <c r="T56">
        <f>'Formato 5'!F65</f>
        <v>15755819.779999999</v>
      </c>
      <c r="U56">
        <f>'Formato 5'!G65</f>
        <v>-120946009.02000001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topLeftCell="A2" workbookViewId="0">
      <selection activeCell="A5" sqref="A5:G5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3277</v>
      </c>
      <c r="B1" s="171"/>
      <c r="C1" s="171"/>
      <c r="D1" s="171"/>
      <c r="E1" s="171"/>
      <c r="F1" s="171"/>
      <c r="G1" s="171"/>
    </row>
    <row r="2" spans="1:7" x14ac:dyDescent="0.25">
      <c r="A2" s="175" t="str">
        <f>ENTE_PUBLICO_A</f>
        <v>JUNTA DE AGUA POTABLE DRENAJE ALCANTARILLADO Y SANEAMIENTO DEL MUNICIPIO DE IRAPUATO GTO,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x14ac:dyDescent="0.25">
      <c r="A5" s="177" t="str">
        <f>TRIMESTRE</f>
        <v>Del 1 de enero al 30 de marzo de 2019 (b)</v>
      </c>
      <c r="B5" s="177"/>
      <c r="C5" s="177"/>
      <c r="D5" s="177"/>
      <c r="E5" s="177"/>
      <c r="F5" s="177"/>
      <c r="G5" s="177"/>
    </row>
    <row r="6" spans="1:7" x14ac:dyDescent="0.2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x14ac:dyDescent="0.25">
      <c r="A9" s="82" t="s">
        <v>285</v>
      </c>
      <c r="B9" s="79">
        <f>SUM(B10,B18,B28,B38,B48,B58,B62,B71,B75)</f>
        <v>376307587.42999995</v>
      </c>
      <c r="C9" s="79">
        <f t="shared" ref="C9:G9" si="0">SUM(C10,C18,C28,C38,C48,C58,C62,C71,C75)</f>
        <v>244286969.40999997</v>
      </c>
      <c r="D9" s="79">
        <f t="shared" si="0"/>
        <v>620594556.84000003</v>
      </c>
      <c r="E9" s="79">
        <f t="shared" si="0"/>
        <v>63602324.640000008</v>
      </c>
      <c r="F9" s="79">
        <f t="shared" si="0"/>
        <v>63205135.610000007</v>
      </c>
      <c r="G9" s="79">
        <f t="shared" si="0"/>
        <v>556992232.19999993</v>
      </c>
    </row>
    <row r="10" spans="1:7" x14ac:dyDescent="0.25">
      <c r="A10" s="83" t="s">
        <v>286</v>
      </c>
      <c r="B10" s="80">
        <f>SUM(B11:B17)</f>
        <v>114851276.38000003</v>
      </c>
      <c r="C10" s="80">
        <f t="shared" ref="C10:F10" si="1">SUM(C11:C17)</f>
        <v>0</v>
      </c>
      <c r="D10" s="80">
        <f t="shared" si="1"/>
        <v>114851276.38000003</v>
      </c>
      <c r="E10" s="80">
        <f t="shared" si="1"/>
        <v>23575326.690000013</v>
      </c>
      <c r="F10" s="80">
        <f t="shared" si="1"/>
        <v>23575326.690000013</v>
      </c>
      <c r="G10" s="80">
        <f>SUM(G11:G17)</f>
        <v>91275949.690000013</v>
      </c>
    </row>
    <row r="11" spans="1:7" x14ac:dyDescent="0.25">
      <c r="A11" s="84" t="s">
        <v>287</v>
      </c>
      <c r="B11" s="80">
        <v>61016688.650000006</v>
      </c>
      <c r="C11" s="80">
        <v>0</v>
      </c>
      <c r="D11" s="80">
        <v>61016688.650000013</v>
      </c>
      <c r="E11" s="80">
        <v>13466159.100000007</v>
      </c>
      <c r="F11" s="80">
        <v>13466159.100000007</v>
      </c>
      <c r="G11" s="80">
        <f>D11-E11</f>
        <v>47550529.550000004</v>
      </c>
    </row>
    <row r="12" spans="1:7" x14ac:dyDescent="0.25">
      <c r="A12" s="84" t="s">
        <v>288</v>
      </c>
      <c r="B12" s="80">
        <v>72504.070000000007</v>
      </c>
      <c r="C12" s="80">
        <v>0</v>
      </c>
      <c r="D12" s="80">
        <v>72504.070000000007</v>
      </c>
      <c r="E12" s="80">
        <v>18000</v>
      </c>
      <c r="F12" s="80">
        <v>18000</v>
      </c>
      <c r="G12" s="80">
        <f>D12-E12</f>
        <v>54504.070000000007</v>
      </c>
    </row>
    <row r="13" spans="1:7" x14ac:dyDescent="0.25">
      <c r="A13" s="84" t="s">
        <v>289</v>
      </c>
      <c r="B13" s="80">
        <v>12418057.800000004</v>
      </c>
      <c r="C13" s="80">
        <v>0</v>
      </c>
      <c r="D13" s="80">
        <v>12418057.800000004</v>
      </c>
      <c r="E13" s="80">
        <v>243188.06</v>
      </c>
      <c r="F13" s="80">
        <v>243188.06</v>
      </c>
      <c r="G13" s="80">
        <f t="shared" ref="G13:G17" si="2">D13-E13</f>
        <v>12174869.740000004</v>
      </c>
    </row>
    <row r="14" spans="1:7" x14ac:dyDescent="0.25">
      <c r="A14" s="84" t="s">
        <v>290</v>
      </c>
      <c r="B14" s="80">
        <v>19800144.880000006</v>
      </c>
      <c r="C14" s="80">
        <v>0</v>
      </c>
      <c r="D14" s="80">
        <v>19800144.88000001</v>
      </c>
      <c r="E14" s="80">
        <v>4836607.3500000034</v>
      </c>
      <c r="F14" s="80">
        <v>4836607.3500000034</v>
      </c>
      <c r="G14" s="80">
        <f t="shared" si="2"/>
        <v>14963537.530000007</v>
      </c>
    </row>
    <row r="15" spans="1:7" x14ac:dyDescent="0.25">
      <c r="A15" s="84" t="s">
        <v>291</v>
      </c>
      <c r="B15" s="80">
        <v>21538880.979999997</v>
      </c>
      <c r="C15" s="80">
        <v>0</v>
      </c>
      <c r="D15" s="80">
        <v>21538880.979999997</v>
      </c>
      <c r="E15" s="80">
        <v>5011372.1799999988</v>
      </c>
      <c r="F15" s="80">
        <v>5011372.1799999988</v>
      </c>
      <c r="G15" s="80">
        <f t="shared" si="2"/>
        <v>16527508.799999997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f t="shared" si="2"/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>SUM(B19:B27)</f>
        <v>96482023.739999995</v>
      </c>
      <c r="C18" s="80">
        <f t="shared" ref="C18:F18" si="3">SUM(C19:C27)</f>
        <v>0</v>
      </c>
      <c r="D18" s="80">
        <f t="shared" si="3"/>
        <v>96482023.74000001</v>
      </c>
      <c r="E18" s="80">
        <f t="shared" si="3"/>
        <v>5223056.5699999994</v>
      </c>
      <c r="F18" s="80">
        <f t="shared" si="3"/>
        <v>5079609.74</v>
      </c>
      <c r="G18" s="80">
        <f>SUM(G19:G27)</f>
        <v>91258967.170000002</v>
      </c>
    </row>
    <row r="19" spans="1:7" x14ac:dyDescent="0.25">
      <c r="A19" s="84" t="s">
        <v>295</v>
      </c>
      <c r="B19" s="80">
        <v>1678076.0899999996</v>
      </c>
      <c r="C19" s="80">
        <v>0</v>
      </c>
      <c r="D19" s="80">
        <v>1678076.0899999996</v>
      </c>
      <c r="E19" s="80">
        <v>640024.80999999994</v>
      </c>
      <c r="F19" s="80">
        <v>634880.03999999992</v>
      </c>
      <c r="G19" s="80">
        <f>D19-E19</f>
        <v>1038051.2799999997</v>
      </c>
    </row>
    <row r="20" spans="1:7" x14ac:dyDescent="0.25">
      <c r="A20" s="84" t="s">
        <v>296</v>
      </c>
      <c r="B20" s="80">
        <v>416751.86</v>
      </c>
      <c r="C20" s="80">
        <v>0</v>
      </c>
      <c r="D20" s="80">
        <v>416751.86</v>
      </c>
      <c r="E20" s="80">
        <v>105509.29000000001</v>
      </c>
      <c r="F20" s="80">
        <v>105509.29000000001</v>
      </c>
      <c r="G20" s="80">
        <f t="shared" ref="G20:G27" si="4">D20-E20</f>
        <v>311242.56999999995</v>
      </c>
    </row>
    <row r="21" spans="1:7" x14ac:dyDescent="0.25">
      <c r="A21" s="84" t="s">
        <v>297</v>
      </c>
      <c r="B21" s="80">
        <v>547705.65</v>
      </c>
      <c r="C21" s="80">
        <v>0</v>
      </c>
      <c r="D21" s="80">
        <v>547705.65</v>
      </c>
      <c r="E21" s="80">
        <v>80720.160000000003</v>
      </c>
      <c r="F21" s="80">
        <v>57668.640000000007</v>
      </c>
      <c r="G21" s="80">
        <f t="shared" si="4"/>
        <v>466985.49</v>
      </c>
    </row>
    <row r="22" spans="1:7" x14ac:dyDescent="0.25">
      <c r="A22" s="84" t="s">
        <v>298</v>
      </c>
      <c r="B22" s="80">
        <v>19836850.289999995</v>
      </c>
      <c r="C22" s="80">
        <v>0</v>
      </c>
      <c r="D22" s="80">
        <v>19836850.289999995</v>
      </c>
      <c r="E22" s="80">
        <v>689800.19</v>
      </c>
      <c r="F22" s="80">
        <v>680721.78999999992</v>
      </c>
      <c r="G22" s="80">
        <f t="shared" si="4"/>
        <v>19147050.099999994</v>
      </c>
    </row>
    <row r="23" spans="1:7" x14ac:dyDescent="0.25">
      <c r="A23" s="84" t="s">
        <v>299</v>
      </c>
      <c r="B23" s="80">
        <v>59882211.479999997</v>
      </c>
      <c r="C23" s="80">
        <v>0</v>
      </c>
      <c r="D23" s="80">
        <v>59882211.480000004</v>
      </c>
      <c r="E23" s="80">
        <v>1589108.6</v>
      </c>
      <c r="F23" s="80">
        <v>1522096.3199999998</v>
      </c>
      <c r="G23" s="80">
        <f t="shared" si="4"/>
        <v>58293102.880000003</v>
      </c>
    </row>
    <row r="24" spans="1:7" x14ac:dyDescent="0.25">
      <c r="A24" s="84" t="s">
        <v>300</v>
      </c>
      <c r="B24" s="80">
        <v>9953163.0999999996</v>
      </c>
      <c r="C24" s="80">
        <v>0</v>
      </c>
      <c r="D24" s="80">
        <v>9953163.0999999978</v>
      </c>
      <c r="E24" s="80">
        <v>1607778.3800000004</v>
      </c>
      <c r="F24" s="80">
        <v>1607778.3800000004</v>
      </c>
      <c r="G24" s="80">
        <f t="shared" si="4"/>
        <v>8345384.7199999969</v>
      </c>
    </row>
    <row r="25" spans="1:7" x14ac:dyDescent="0.25">
      <c r="A25" s="84" t="s">
        <v>301</v>
      </c>
      <c r="B25" s="80">
        <v>2129018.12</v>
      </c>
      <c r="C25" s="80">
        <v>0</v>
      </c>
      <c r="D25" s="80">
        <v>2129018.12</v>
      </c>
      <c r="E25" s="80">
        <v>86354.639999999985</v>
      </c>
      <c r="F25" s="80">
        <v>64362.779999999992</v>
      </c>
      <c r="G25" s="80">
        <f t="shared" si="4"/>
        <v>2042663.4800000002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2038247.1500000004</v>
      </c>
      <c r="C27" s="80">
        <v>0</v>
      </c>
      <c r="D27" s="80">
        <v>2038247.1500000004</v>
      </c>
      <c r="E27" s="80">
        <v>423760.5</v>
      </c>
      <c r="F27" s="80">
        <v>406592.5</v>
      </c>
      <c r="G27" s="80">
        <f t="shared" si="4"/>
        <v>1614486.6500000004</v>
      </c>
    </row>
    <row r="28" spans="1:7" x14ac:dyDescent="0.25">
      <c r="A28" s="83" t="s">
        <v>304</v>
      </c>
      <c r="B28" s="80">
        <f>SUM(B29:B37)</f>
        <v>135443264.41</v>
      </c>
      <c r="C28" s="80">
        <f t="shared" ref="C28:G28" si="5">SUM(C29:C37)</f>
        <v>0</v>
      </c>
      <c r="D28" s="80">
        <f t="shared" si="5"/>
        <v>135443264.41</v>
      </c>
      <c r="E28" s="80">
        <f t="shared" si="5"/>
        <v>31262225.889999997</v>
      </c>
      <c r="F28" s="80">
        <f t="shared" si="5"/>
        <v>31033210.249999996</v>
      </c>
      <c r="G28" s="80">
        <f t="shared" si="5"/>
        <v>104181038.52</v>
      </c>
    </row>
    <row r="29" spans="1:7" x14ac:dyDescent="0.25">
      <c r="A29" s="84" t="s">
        <v>305</v>
      </c>
      <c r="B29" s="80">
        <v>80920291.710000008</v>
      </c>
      <c r="C29" s="80">
        <v>0</v>
      </c>
      <c r="D29" s="80">
        <v>80920291.710000008</v>
      </c>
      <c r="E29" s="80">
        <v>19944017.419999998</v>
      </c>
      <c r="F29" s="80">
        <v>19944017.419999998</v>
      </c>
      <c r="G29" s="80">
        <f>D29-E29</f>
        <v>60976274.290000007</v>
      </c>
    </row>
    <row r="30" spans="1:7" x14ac:dyDescent="0.25">
      <c r="A30" s="84" t="s">
        <v>306</v>
      </c>
      <c r="B30" s="80">
        <v>1760237.6300000001</v>
      </c>
      <c r="C30" s="80">
        <v>0</v>
      </c>
      <c r="D30" s="80">
        <v>1760237.6300000001</v>
      </c>
      <c r="E30" s="80">
        <v>247599.52000000002</v>
      </c>
      <c r="F30" s="80">
        <v>151962.38</v>
      </c>
      <c r="G30" s="80">
        <f t="shared" ref="G30:G37" si="6">D30-E30</f>
        <v>1512638.11</v>
      </c>
    </row>
    <row r="31" spans="1:7" x14ac:dyDescent="0.25">
      <c r="A31" s="84" t="s">
        <v>307</v>
      </c>
      <c r="B31" s="80">
        <v>6930212.4200000009</v>
      </c>
      <c r="C31" s="80">
        <v>0</v>
      </c>
      <c r="D31" s="80">
        <v>6930212.4200000009</v>
      </c>
      <c r="E31" s="80">
        <v>530630.48</v>
      </c>
      <c r="F31" s="80">
        <v>530630.48</v>
      </c>
      <c r="G31" s="80">
        <f t="shared" si="6"/>
        <v>6399581.9400000013</v>
      </c>
    </row>
    <row r="32" spans="1:7" x14ac:dyDescent="0.25">
      <c r="A32" s="84" t="s">
        <v>308</v>
      </c>
      <c r="B32" s="80">
        <v>4574934.63</v>
      </c>
      <c r="C32" s="80">
        <v>0</v>
      </c>
      <c r="D32" s="80">
        <v>4574934.63</v>
      </c>
      <c r="E32" s="80">
        <v>1804091.6799999997</v>
      </c>
      <c r="F32" s="80">
        <v>1804091.6799999997</v>
      </c>
      <c r="G32" s="80">
        <f t="shared" si="6"/>
        <v>2770842.95</v>
      </c>
    </row>
    <row r="33" spans="1:7" x14ac:dyDescent="0.25">
      <c r="A33" s="84" t="s">
        <v>309</v>
      </c>
      <c r="B33" s="80">
        <v>12976884.9</v>
      </c>
      <c r="C33" s="80">
        <v>0</v>
      </c>
      <c r="D33" s="80">
        <v>12976884.9</v>
      </c>
      <c r="E33" s="80">
        <v>1249854.9100000001</v>
      </c>
      <c r="F33" s="80">
        <v>1149718.93</v>
      </c>
      <c r="G33" s="80">
        <f t="shared" si="6"/>
        <v>11727029.99</v>
      </c>
    </row>
    <row r="34" spans="1:7" x14ac:dyDescent="0.25">
      <c r="A34" s="84" t="s">
        <v>310</v>
      </c>
      <c r="B34" s="80">
        <v>2341149</v>
      </c>
      <c r="C34" s="80">
        <v>0</v>
      </c>
      <c r="D34" s="80">
        <v>2341149</v>
      </c>
      <c r="E34" s="80">
        <v>602368.34000000008</v>
      </c>
      <c r="F34" s="80">
        <v>602368.34000000008</v>
      </c>
      <c r="G34" s="80">
        <f t="shared" si="6"/>
        <v>1738780.66</v>
      </c>
    </row>
    <row r="35" spans="1:7" x14ac:dyDescent="0.25">
      <c r="A35" s="84" t="s">
        <v>311</v>
      </c>
      <c r="B35" s="80">
        <v>246112.37000000002</v>
      </c>
      <c r="C35" s="80">
        <v>0</v>
      </c>
      <c r="D35" s="80">
        <v>246112.37000000002</v>
      </c>
      <c r="E35" s="80">
        <v>11852.289999999999</v>
      </c>
      <c r="F35" s="80">
        <v>11852.289999999999</v>
      </c>
      <c r="G35" s="80">
        <f t="shared" si="6"/>
        <v>234260.08000000002</v>
      </c>
    </row>
    <row r="36" spans="1:7" x14ac:dyDescent="0.25">
      <c r="A36" s="84" t="s">
        <v>312</v>
      </c>
      <c r="B36" s="80">
        <v>408039.82</v>
      </c>
      <c r="C36" s="80">
        <v>0</v>
      </c>
      <c r="D36" s="80">
        <v>408039.82</v>
      </c>
      <c r="E36" s="80">
        <v>41332.1</v>
      </c>
      <c r="F36" s="80">
        <v>41332.1</v>
      </c>
      <c r="G36" s="80">
        <f t="shared" si="6"/>
        <v>366707.72000000003</v>
      </c>
    </row>
    <row r="37" spans="1:7" x14ac:dyDescent="0.25">
      <c r="A37" s="84" t="s">
        <v>313</v>
      </c>
      <c r="B37" s="80">
        <v>25285401.929999996</v>
      </c>
      <c r="C37" s="80">
        <v>0</v>
      </c>
      <c r="D37" s="80">
        <v>25285401.929999996</v>
      </c>
      <c r="E37" s="80">
        <v>6830479.1499999994</v>
      </c>
      <c r="F37" s="80">
        <v>6797236.6299999999</v>
      </c>
      <c r="G37" s="80">
        <f t="shared" si="6"/>
        <v>18454922.779999997</v>
      </c>
    </row>
    <row r="38" spans="1:7" x14ac:dyDescent="0.25">
      <c r="A38" s="83" t="s">
        <v>314</v>
      </c>
      <c r="B38" s="80">
        <f>SUM(B39:B47)</f>
        <v>2374447.9300000002</v>
      </c>
      <c r="C38" s="80">
        <f t="shared" ref="C38:G38" si="7">SUM(C39:C47)</f>
        <v>0</v>
      </c>
      <c r="D38" s="80">
        <f t="shared" si="7"/>
        <v>2374447.9300000002</v>
      </c>
      <c r="E38" s="80">
        <f t="shared" si="7"/>
        <v>96987.47</v>
      </c>
      <c r="F38" s="80">
        <f t="shared" si="7"/>
        <v>96987.47</v>
      </c>
      <c r="G38" s="80">
        <f t="shared" si="7"/>
        <v>2277460.46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725418.1</v>
      </c>
      <c r="C42" s="80">
        <v>0</v>
      </c>
      <c r="D42" s="80">
        <v>725418.1</v>
      </c>
      <c r="E42" s="80">
        <v>96987.47</v>
      </c>
      <c r="F42" s="80">
        <v>96987.47</v>
      </c>
      <c r="G42" s="80">
        <f t="shared" si="8"/>
        <v>628430.63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1649029.83</v>
      </c>
      <c r="C46" s="80">
        <v>0</v>
      </c>
      <c r="D46" s="80">
        <v>1649029.83</v>
      </c>
      <c r="E46" s="80">
        <v>0</v>
      </c>
      <c r="F46" s="80">
        <v>0</v>
      </c>
      <c r="G46" s="80">
        <f t="shared" si="8"/>
        <v>1649029.83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27156574.969999999</v>
      </c>
      <c r="C48" s="80">
        <f t="shared" ref="C48:G48" si="9">SUM(C49:C57)</f>
        <v>200000</v>
      </c>
      <c r="D48" s="80">
        <f t="shared" si="9"/>
        <v>27356574.969999999</v>
      </c>
      <c r="E48" s="80">
        <f t="shared" si="9"/>
        <v>3444728.02</v>
      </c>
      <c r="F48" s="80">
        <f t="shared" si="9"/>
        <v>3420001.46</v>
      </c>
      <c r="G48" s="80">
        <f t="shared" si="9"/>
        <v>23911846.949999999</v>
      </c>
    </row>
    <row r="49" spans="1:7" x14ac:dyDescent="0.25">
      <c r="A49" s="84" t="s">
        <v>325</v>
      </c>
      <c r="B49" s="80">
        <v>3018734.56</v>
      </c>
      <c r="C49" s="80">
        <v>0</v>
      </c>
      <c r="D49" s="80">
        <v>3018734.56</v>
      </c>
      <c r="E49" s="80">
        <v>86987.200000000012</v>
      </c>
      <c r="F49" s="80">
        <v>86987.200000000012</v>
      </c>
      <c r="G49" s="80">
        <f>D49-E49</f>
        <v>2931747.36</v>
      </c>
    </row>
    <row r="50" spans="1:7" x14ac:dyDescent="0.25">
      <c r="A50" s="84" t="s">
        <v>326</v>
      </c>
      <c r="B50" s="80">
        <v>86700</v>
      </c>
      <c r="C50" s="80">
        <v>0</v>
      </c>
      <c r="D50" s="80">
        <v>86700</v>
      </c>
      <c r="E50" s="80">
        <v>0</v>
      </c>
      <c r="F50" s="80">
        <v>0</v>
      </c>
      <c r="G50" s="80">
        <f t="shared" ref="G50:G57" si="10">D50-E50</f>
        <v>86700</v>
      </c>
    </row>
    <row r="51" spans="1:7" x14ac:dyDescent="0.25">
      <c r="A51" s="84" t="s">
        <v>327</v>
      </c>
      <c r="B51" s="80">
        <v>2250000</v>
      </c>
      <c r="C51" s="80">
        <v>0</v>
      </c>
      <c r="D51" s="80">
        <v>2250000</v>
      </c>
      <c r="E51" s="80">
        <v>0</v>
      </c>
      <c r="F51" s="80">
        <v>0</v>
      </c>
      <c r="G51" s="80">
        <f t="shared" si="10"/>
        <v>2250000</v>
      </c>
    </row>
    <row r="52" spans="1:7" x14ac:dyDescent="0.25">
      <c r="A52" s="84" t="s">
        <v>328</v>
      </c>
      <c r="B52" s="80">
        <v>2000000</v>
      </c>
      <c r="C52" s="80">
        <v>200000</v>
      </c>
      <c r="D52" s="80">
        <v>2200000</v>
      </c>
      <c r="E52" s="80">
        <v>1394577.98</v>
      </c>
      <c r="F52" s="80">
        <v>1394577.98</v>
      </c>
      <c r="G52" s="80">
        <f t="shared" si="10"/>
        <v>805422.02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15901140.41</v>
      </c>
      <c r="C54" s="80">
        <v>0</v>
      </c>
      <c r="D54" s="80">
        <v>15901140.41</v>
      </c>
      <c r="E54" s="80">
        <v>1151162.8400000001</v>
      </c>
      <c r="F54" s="80">
        <v>1126436.28</v>
      </c>
      <c r="G54" s="80">
        <f t="shared" si="10"/>
        <v>14749977.57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3900000</v>
      </c>
      <c r="C56" s="80">
        <v>0</v>
      </c>
      <c r="D56" s="80">
        <v>3900000</v>
      </c>
      <c r="E56" s="80">
        <v>812000</v>
      </c>
      <c r="F56" s="80">
        <v>812000</v>
      </c>
      <c r="G56" s="80">
        <f t="shared" si="10"/>
        <v>3088000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0</v>
      </c>
      <c r="D58" s="80">
        <f t="shared" si="11"/>
        <v>0</v>
      </c>
      <c r="E58" s="80">
        <f t="shared" si="11"/>
        <v>0</v>
      </c>
      <c r="F58" s="80">
        <f t="shared" si="11"/>
        <v>0</v>
      </c>
      <c r="G58" s="80">
        <f t="shared" si="11"/>
        <v>0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 t="shared" ref="G60:G61" si="12">D60-E60</f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199535162.77999997</v>
      </c>
      <c r="D62" s="80">
        <f t="shared" si="13"/>
        <v>199535162.77999997</v>
      </c>
      <c r="E62" s="80">
        <f t="shared" si="13"/>
        <v>0</v>
      </c>
      <c r="F62" s="80">
        <f t="shared" si="13"/>
        <v>0</v>
      </c>
      <c r="G62" s="80">
        <f t="shared" si="13"/>
        <v>199535162.77999997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199535162.77999997</v>
      </c>
      <c r="D70" s="80">
        <v>199535162.77999997</v>
      </c>
      <c r="E70" s="80">
        <v>0</v>
      </c>
      <c r="F70" s="80">
        <v>0</v>
      </c>
      <c r="G70" s="80">
        <f t="shared" si="14"/>
        <v>199535162.77999997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44551806.629999995</v>
      </c>
      <c r="D71" s="80">
        <f t="shared" si="15"/>
        <v>44551806.629999995</v>
      </c>
      <c r="E71" s="80">
        <f t="shared" si="15"/>
        <v>0</v>
      </c>
      <c r="F71" s="80">
        <f t="shared" si="15"/>
        <v>0</v>
      </c>
      <c r="G71" s="80">
        <f t="shared" si="15"/>
        <v>44551806.629999995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44551806.629999995</v>
      </c>
      <c r="D74" s="80">
        <v>44551806.629999995</v>
      </c>
      <c r="E74" s="80">
        <v>0</v>
      </c>
      <c r="F74" s="80">
        <v>0</v>
      </c>
      <c r="G74" s="80">
        <f t="shared" si="16"/>
        <v>44551806.629999995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210295969.19999999</v>
      </c>
      <c r="C84" s="79">
        <f t="shared" ref="C84:G84" si="19">SUM(C85,C93,C103,C113,C123,C133,C137,C146,C150)</f>
        <v>69099428.270000055</v>
      </c>
      <c r="D84" s="79">
        <f t="shared" si="19"/>
        <v>279395397.47000003</v>
      </c>
      <c r="E84" s="79">
        <f t="shared" si="19"/>
        <v>36083715.520000003</v>
      </c>
      <c r="F84" s="79">
        <f t="shared" si="19"/>
        <v>36083715.520000003</v>
      </c>
      <c r="G84" s="79">
        <f t="shared" si="19"/>
        <v>243311681.95000002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3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3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3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9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210295969.19999999</v>
      </c>
      <c r="C133" s="80">
        <f t="shared" ref="C133:G133" si="30">SUM(C134:C136)</f>
        <v>69099428.270000055</v>
      </c>
      <c r="D133" s="80">
        <f t="shared" si="30"/>
        <v>279395397.47000003</v>
      </c>
      <c r="E133" s="80">
        <f t="shared" si="30"/>
        <v>36083715.520000003</v>
      </c>
      <c r="F133" s="80">
        <f t="shared" si="30"/>
        <v>36083715.520000003</v>
      </c>
      <c r="G133" s="80">
        <f t="shared" si="30"/>
        <v>243311681.95000002</v>
      </c>
    </row>
    <row r="134" spans="1:7" x14ac:dyDescent="0.25">
      <c r="A134" s="84" t="s">
        <v>335</v>
      </c>
      <c r="B134" s="80">
        <v>156031828.79999998</v>
      </c>
      <c r="C134" s="80">
        <v>58467804.460000038</v>
      </c>
      <c r="D134" s="80">
        <v>214499633.26000002</v>
      </c>
      <c r="E134" s="80">
        <v>32123879</v>
      </c>
      <c r="F134" s="80">
        <v>32123879</v>
      </c>
      <c r="G134" s="80">
        <f>D134-E134</f>
        <v>182375754.26000002</v>
      </c>
    </row>
    <row r="135" spans="1:7" x14ac:dyDescent="0.25">
      <c r="A135" s="84" t="s">
        <v>336</v>
      </c>
      <c r="B135" s="80">
        <v>54264140.399999991</v>
      </c>
      <c r="C135" s="80">
        <v>10631623.810000017</v>
      </c>
      <c r="D135" s="80">
        <v>64895764.210000008</v>
      </c>
      <c r="E135" s="80">
        <v>3959836.5200000005</v>
      </c>
      <c r="F135" s="80">
        <v>3959836.5200000005</v>
      </c>
      <c r="G135" s="80">
        <f t="shared" ref="G135:G136" si="31">D135-E135</f>
        <v>60935927.690000005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586603556.62999988</v>
      </c>
      <c r="C159" s="79">
        <f t="shared" ref="C159:G159" si="38">C9+C84</f>
        <v>313386397.68000001</v>
      </c>
      <c r="D159" s="79">
        <f t="shared" si="38"/>
        <v>899989954.31000006</v>
      </c>
      <c r="E159" s="79">
        <f t="shared" si="38"/>
        <v>99686040.160000011</v>
      </c>
      <c r="F159" s="79">
        <f t="shared" si="38"/>
        <v>99288851.13000001</v>
      </c>
      <c r="G159" s="79">
        <f t="shared" si="38"/>
        <v>800303914.14999998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376307587.42999995</v>
      </c>
      <c r="Q2" s="18">
        <f>'Formato 6 a)'!C9</f>
        <v>244286969.40999997</v>
      </c>
      <c r="R2" s="18">
        <f>'Formato 6 a)'!D9</f>
        <v>620594556.84000003</v>
      </c>
      <c r="S2" s="18">
        <f>'Formato 6 a)'!E9</f>
        <v>63602324.640000008</v>
      </c>
      <c r="T2" s="18">
        <f>'Formato 6 a)'!F9</f>
        <v>63205135.610000007</v>
      </c>
      <c r="U2" s="18">
        <f>'Formato 6 a)'!G9</f>
        <v>556992232.19999993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114851276.38000003</v>
      </c>
      <c r="Q3" s="18">
        <f>'Formato 6 a)'!C10</f>
        <v>0</v>
      </c>
      <c r="R3" s="18">
        <f>'Formato 6 a)'!D10</f>
        <v>114851276.38000003</v>
      </c>
      <c r="S3" s="18">
        <f>'Formato 6 a)'!E10</f>
        <v>23575326.690000013</v>
      </c>
      <c r="T3" s="18">
        <f>'Formato 6 a)'!F10</f>
        <v>23575326.690000013</v>
      </c>
      <c r="U3" s="18">
        <f>'Formato 6 a)'!G10</f>
        <v>91275949.690000013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61016688.650000006</v>
      </c>
      <c r="Q4" s="18">
        <f>'Formato 6 a)'!C11</f>
        <v>0</v>
      </c>
      <c r="R4" s="18">
        <f>'Formato 6 a)'!D11</f>
        <v>61016688.650000013</v>
      </c>
      <c r="S4" s="18">
        <f>'Formato 6 a)'!E11</f>
        <v>13466159.100000007</v>
      </c>
      <c r="T4" s="18">
        <f>'Formato 6 a)'!F11</f>
        <v>13466159.100000007</v>
      </c>
      <c r="U4" s="18">
        <f>'Formato 6 a)'!G11</f>
        <v>47550529.550000004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72504.070000000007</v>
      </c>
      <c r="Q5" s="18">
        <f>'Formato 6 a)'!C12</f>
        <v>0</v>
      </c>
      <c r="R5" s="18">
        <f>'Formato 6 a)'!D12</f>
        <v>72504.070000000007</v>
      </c>
      <c r="S5" s="18">
        <f>'Formato 6 a)'!E12</f>
        <v>18000</v>
      </c>
      <c r="T5" s="18">
        <f>'Formato 6 a)'!F12</f>
        <v>18000</v>
      </c>
      <c r="U5" s="18">
        <f>'Formato 6 a)'!G12</f>
        <v>54504.070000000007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12418057.800000004</v>
      </c>
      <c r="Q6" s="18">
        <f>'Formato 6 a)'!C13</f>
        <v>0</v>
      </c>
      <c r="R6" s="18">
        <f>'Formato 6 a)'!D13</f>
        <v>12418057.800000004</v>
      </c>
      <c r="S6" s="18">
        <f>'Formato 6 a)'!E13</f>
        <v>243188.06</v>
      </c>
      <c r="T6" s="18">
        <f>'Formato 6 a)'!F13</f>
        <v>243188.06</v>
      </c>
      <c r="U6" s="18">
        <f>'Formato 6 a)'!G13</f>
        <v>12174869.740000004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19800144.880000006</v>
      </c>
      <c r="Q7" s="18">
        <f>'Formato 6 a)'!C14</f>
        <v>0</v>
      </c>
      <c r="R7" s="18">
        <f>'Formato 6 a)'!D14</f>
        <v>19800144.88000001</v>
      </c>
      <c r="S7" s="18">
        <f>'Formato 6 a)'!E14</f>
        <v>4836607.3500000034</v>
      </c>
      <c r="T7" s="18">
        <f>'Formato 6 a)'!F14</f>
        <v>4836607.3500000034</v>
      </c>
      <c r="U7" s="18">
        <f>'Formato 6 a)'!G14</f>
        <v>14963537.530000007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21538880.979999997</v>
      </c>
      <c r="Q8" s="18">
        <f>'Formato 6 a)'!C15</f>
        <v>0</v>
      </c>
      <c r="R8" s="18">
        <f>'Formato 6 a)'!D15</f>
        <v>21538880.979999997</v>
      </c>
      <c r="S8" s="18">
        <f>'Formato 6 a)'!E15</f>
        <v>5011372.1799999988</v>
      </c>
      <c r="T8" s="18">
        <f>'Formato 6 a)'!F15</f>
        <v>5011372.1799999988</v>
      </c>
      <c r="U8" s="18">
        <f>'Formato 6 a)'!G15</f>
        <v>16527508.799999997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96482023.739999995</v>
      </c>
      <c r="Q11" s="18">
        <f>'Formato 6 a)'!C18</f>
        <v>0</v>
      </c>
      <c r="R11" s="18">
        <f>'Formato 6 a)'!D18</f>
        <v>96482023.74000001</v>
      </c>
      <c r="S11" s="18">
        <f>'Formato 6 a)'!E18</f>
        <v>5223056.5699999994</v>
      </c>
      <c r="T11" s="18">
        <f>'Formato 6 a)'!F18</f>
        <v>5079609.74</v>
      </c>
      <c r="U11" s="18">
        <f>'Formato 6 a)'!G18</f>
        <v>91258967.170000002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1678076.0899999996</v>
      </c>
      <c r="Q12" s="18">
        <f>'Formato 6 a)'!C19</f>
        <v>0</v>
      </c>
      <c r="R12" s="18">
        <f>'Formato 6 a)'!D19</f>
        <v>1678076.0899999996</v>
      </c>
      <c r="S12" s="18">
        <f>'Formato 6 a)'!E19</f>
        <v>640024.80999999994</v>
      </c>
      <c r="T12" s="18">
        <f>'Formato 6 a)'!F19</f>
        <v>634880.03999999992</v>
      </c>
      <c r="U12" s="18">
        <f>'Formato 6 a)'!G19</f>
        <v>1038051.2799999997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416751.86</v>
      </c>
      <c r="Q13" s="18">
        <f>'Formato 6 a)'!C20</f>
        <v>0</v>
      </c>
      <c r="R13" s="18">
        <f>'Formato 6 a)'!D20</f>
        <v>416751.86</v>
      </c>
      <c r="S13" s="18">
        <f>'Formato 6 a)'!E20</f>
        <v>105509.29000000001</v>
      </c>
      <c r="T13" s="18">
        <f>'Formato 6 a)'!F20</f>
        <v>105509.29000000001</v>
      </c>
      <c r="U13" s="18">
        <f>'Formato 6 a)'!G20</f>
        <v>311242.56999999995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547705.65</v>
      </c>
      <c r="Q14" s="18">
        <f>'Formato 6 a)'!C21</f>
        <v>0</v>
      </c>
      <c r="R14" s="18">
        <f>'Formato 6 a)'!D21</f>
        <v>547705.65</v>
      </c>
      <c r="S14" s="18">
        <f>'Formato 6 a)'!E21</f>
        <v>80720.160000000003</v>
      </c>
      <c r="T14" s="18">
        <f>'Formato 6 a)'!F21</f>
        <v>57668.640000000007</v>
      </c>
      <c r="U14" s="18">
        <f>'Formato 6 a)'!G21</f>
        <v>466985.49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19836850.289999995</v>
      </c>
      <c r="Q15" s="18">
        <f>'Formato 6 a)'!C22</f>
        <v>0</v>
      </c>
      <c r="R15" s="18">
        <f>'Formato 6 a)'!D22</f>
        <v>19836850.289999995</v>
      </c>
      <c r="S15" s="18">
        <f>'Formato 6 a)'!E22</f>
        <v>689800.19</v>
      </c>
      <c r="T15" s="18">
        <f>'Formato 6 a)'!F22</f>
        <v>680721.78999999992</v>
      </c>
      <c r="U15" s="18">
        <f>'Formato 6 a)'!G22</f>
        <v>19147050.099999994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59882211.479999997</v>
      </c>
      <c r="Q16" s="18">
        <f>'Formato 6 a)'!C23</f>
        <v>0</v>
      </c>
      <c r="R16" s="18">
        <f>'Formato 6 a)'!D23</f>
        <v>59882211.480000004</v>
      </c>
      <c r="S16" s="18">
        <f>'Formato 6 a)'!E23</f>
        <v>1589108.6</v>
      </c>
      <c r="T16" s="18">
        <f>'Formato 6 a)'!F23</f>
        <v>1522096.3199999998</v>
      </c>
      <c r="U16" s="18">
        <f>'Formato 6 a)'!G23</f>
        <v>58293102.880000003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9953163.0999999996</v>
      </c>
      <c r="Q17" s="18">
        <f>'Formato 6 a)'!C24</f>
        <v>0</v>
      </c>
      <c r="R17" s="18">
        <f>'Formato 6 a)'!D24</f>
        <v>9953163.0999999978</v>
      </c>
      <c r="S17" s="18">
        <f>'Formato 6 a)'!E24</f>
        <v>1607778.3800000004</v>
      </c>
      <c r="T17" s="18">
        <f>'Formato 6 a)'!F24</f>
        <v>1607778.3800000004</v>
      </c>
      <c r="U17" s="18">
        <f>'Formato 6 a)'!G24</f>
        <v>8345384.7199999969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2129018.12</v>
      </c>
      <c r="Q18" s="18">
        <f>'Formato 6 a)'!C25</f>
        <v>0</v>
      </c>
      <c r="R18" s="18">
        <f>'Formato 6 a)'!D25</f>
        <v>2129018.12</v>
      </c>
      <c r="S18" s="18">
        <f>'Formato 6 a)'!E25</f>
        <v>86354.639999999985</v>
      </c>
      <c r="T18" s="18">
        <f>'Formato 6 a)'!F25</f>
        <v>64362.779999999992</v>
      </c>
      <c r="U18" s="18">
        <f>'Formato 6 a)'!G25</f>
        <v>2042663.4800000002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2038247.1500000004</v>
      </c>
      <c r="Q20" s="18">
        <f>'Formato 6 a)'!C27</f>
        <v>0</v>
      </c>
      <c r="R20" s="18">
        <f>'Formato 6 a)'!D27</f>
        <v>2038247.1500000004</v>
      </c>
      <c r="S20" s="18">
        <f>'Formato 6 a)'!E27</f>
        <v>423760.5</v>
      </c>
      <c r="T20" s="18">
        <f>'Formato 6 a)'!F27</f>
        <v>406592.5</v>
      </c>
      <c r="U20" s="18">
        <f>'Formato 6 a)'!G27</f>
        <v>1614486.6500000004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135443264.41</v>
      </c>
      <c r="Q21" s="18">
        <f>'Formato 6 a)'!C28</f>
        <v>0</v>
      </c>
      <c r="R21" s="18">
        <f>'Formato 6 a)'!D28</f>
        <v>135443264.41</v>
      </c>
      <c r="S21" s="18">
        <f>'Formato 6 a)'!E28</f>
        <v>31262225.889999997</v>
      </c>
      <c r="T21" s="18">
        <f>'Formato 6 a)'!F28</f>
        <v>31033210.249999996</v>
      </c>
      <c r="U21" s="18">
        <f>'Formato 6 a)'!G28</f>
        <v>104181038.52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80920291.710000008</v>
      </c>
      <c r="Q22" s="18">
        <f>'Formato 6 a)'!C29</f>
        <v>0</v>
      </c>
      <c r="R22" s="18">
        <f>'Formato 6 a)'!D29</f>
        <v>80920291.710000008</v>
      </c>
      <c r="S22" s="18">
        <f>'Formato 6 a)'!E29</f>
        <v>19944017.419999998</v>
      </c>
      <c r="T22" s="18">
        <f>'Formato 6 a)'!F29</f>
        <v>19944017.419999998</v>
      </c>
      <c r="U22" s="18">
        <f>'Formato 6 a)'!G29</f>
        <v>60976274.290000007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1760237.6300000001</v>
      </c>
      <c r="Q23" s="18">
        <f>'Formato 6 a)'!C30</f>
        <v>0</v>
      </c>
      <c r="R23" s="18">
        <f>'Formato 6 a)'!D30</f>
        <v>1760237.6300000001</v>
      </c>
      <c r="S23" s="18">
        <f>'Formato 6 a)'!E30</f>
        <v>247599.52000000002</v>
      </c>
      <c r="T23" s="18">
        <f>'Formato 6 a)'!F30</f>
        <v>151962.38</v>
      </c>
      <c r="U23" s="18">
        <f>'Formato 6 a)'!G30</f>
        <v>1512638.11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6930212.4200000009</v>
      </c>
      <c r="Q24" s="18">
        <f>'Formato 6 a)'!C31</f>
        <v>0</v>
      </c>
      <c r="R24" s="18">
        <f>'Formato 6 a)'!D31</f>
        <v>6930212.4200000009</v>
      </c>
      <c r="S24" s="18">
        <f>'Formato 6 a)'!E31</f>
        <v>530630.48</v>
      </c>
      <c r="T24" s="18">
        <f>'Formato 6 a)'!F31</f>
        <v>530630.48</v>
      </c>
      <c r="U24" s="18">
        <f>'Formato 6 a)'!G31</f>
        <v>6399581.9400000013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4574934.63</v>
      </c>
      <c r="Q25" s="18">
        <f>'Formato 6 a)'!C32</f>
        <v>0</v>
      </c>
      <c r="R25" s="18">
        <f>'Formato 6 a)'!D32</f>
        <v>4574934.63</v>
      </c>
      <c r="S25" s="18">
        <f>'Formato 6 a)'!E32</f>
        <v>1804091.6799999997</v>
      </c>
      <c r="T25" s="18">
        <f>'Formato 6 a)'!F32</f>
        <v>1804091.6799999997</v>
      </c>
      <c r="U25" s="18">
        <f>'Formato 6 a)'!G32</f>
        <v>2770842.95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12976884.9</v>
      </c>
      <c r="Q26" s="18">
        <f>'Formato 6 a)'!C33</f>
        <v>0</v>
      </c>
      <c r="R26" s="18">
        <f>'Formato 6 a)'!D33</f>
        <v>12976884.9</v>
      </c>
      <c r="S26" s="18">
        <f>'Formato 6 a)'!E33</f>
        <v>1249854.9100000001</v>
      </c>
      <c r="T26" s="18">
        <f>'Formato 6 a)'!F33</f>
        <v>1149718.93</v>
      </c>
      <c r="U26" s="18">
        <f>'Formato 6 a)'!G33</f>
        <v>11727029.99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2341149</v>
      </c>
      <c r="Q27" s="18">
        <f>'Formato 6 a)'!C34</f>
        <v>0</v>
      </c>
      <c r="R27" s="18">
        <f>'Formato 6 a)'!D34</f>
        <v>2341149</v>
      </c>
      <c r="S27" s="18">
        <f>'Formato 6 a)'!E34</f>
        <v>602368.34000000008</v>
      </c>
      <c r="T27" s="18">
        <f>'Formato 6 a)'!F34</f>
        <v>602368.34000000008</v>
      </c>
      <c r="U27" s="18">
        <f>'Formato 6 a)'!G34</f>
        <v>1738780.66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246112.37000000002</v>
      </c>
      <c r="Q28" s="18">
        <f>'Formato 6 a)'!C35</f>
        <v>0</v>
      </c>
      <c r="R28" s="18">
        <f>'Formato 6 a)'!D35</f>
        <v>246112.37000000002</v>
      </c>
      <c r="S28" s="18">
        <f>'Formato 6 a)'!E35</f>
        <v>11852.289999999999</v>
      </c>
      <c r="T28" s="18">
        <f>'Formato 6 a)'!F35</f>
        <v>11852.289999999999</v>
      </c>
      <c r="U28" s="18">
        <f>'Formato 6 a)'!G35</f>
        <v>234260.08000000002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408039.82</v>
      </c>
      <c r="Q29" s="18">
        <f>'Formato 6 a)'!C36</f>
        <v>0</v>
      </c>
      <c r="R29" s="18">
        <f>'Formato 6 a)'!D36</f>
        <v>408039.82</v>
      </c>
      <c r="S29" s="18">
        <f>'Formato 6 a)'!E36</f>
        <v>41332.1</v>
      </c>
      <c r="T29" s="18">
        <f>'Formato 6 a)'!F36</f>
        <v>41332.1</v>
      </c>
      <c r="U29" s="18">
        <f>'Formato 6 a)'!G36</f>
        <v>366707.72000000003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25285401.929999996</v>
      </c>
      <c r="Q30" s="18">
        <f>'Formato 6 a)'!C37</f>
        <v>0</v>
      </c>
      <c r="R30" s="18">
        <f>'Formato 6 a)'!D37</f>
        <v>25285401.929999996</v>
      </c>
      <c r="S30" s="18">
        <f>'Formato 6 a)'!E37</f>
        <v>6830479.1499999994</v>
      </c>
      <c r="T30" s="18">
        <f>'Formato 6 a)'!F37</f>
        <v>6797236.6299999999</v>
      </c>
      <c r="U30" s="18">
        <f>'Formato 6 a)'!G37</f>
        <v>18454922.779999997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2374447.9300000002</v>
      </c>
      <c r="Q31" s="18">
        <f>'Formato 6 a)'!C38</f>
        <v>0</v>
      </c>
      <c r="R31" s="18">
        <f>'Formato 6 a)'!D38</f>
        <v>2374447.9300000002</v>
      </c>
      <c r="S31" s="18">
        <f>'Formato 6 a)'!E38</f>
        <v>96987.47</v>
      </c>
      <c r="T31" s="18">
        <f>'Formato 6 a)'!F38</f>
        <v>96987.47</v>
      </c>
      <c r="U31" s="18">
        <f>'Formato 6 a)'!G38</f>
        <v>2277460.46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725418.1</v>
      </c>
      <c r="Q35" s="18">
        <f>'Formato 6 a)'!C42</f>
        <v>0</v>
      </c>
      <c r="R35" s="18">
        <f>'Formato 6 a)'!D42</f>
        <v>725418.1</v>
      </c>
      <c r="S35" s="18">
        <f>'Formato 6 a)'!E42</f>
        <v>96987.47</v>
      </c>
      <c r="T35" s="18">
        <f>'Formato 6 a)'!F42</f>
        <v>96987.47</v>
      </c>
      <c r="U35" s="18">
        <f>'Formato 6 a)'!G42</f>
        <v>628430.63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1649029.83</v>
      </c>
      <c r="Q39" s="18">
        <f>'Formato 6 a)'!C46</f>
        <v>0</v>
      </c>
      <c r="R39" s="18">
        <f>'Formato 6 a)'!D46</f>
        <v>1649029.83</v>
      </c>
      <c r="S39" s="18">
        <f>'Formato 6 a)'!E46</f>
        <v>0</v>
      </c>
      <c r="T39" s="18">
        <f>'Formato 6 a)'!F46</f>
        <v>0</v>
      </c>
      <c r="U39" s="18">
        <f>'Formato 6 a)'!G46</f>
        <v>1649029.83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27156574.969999999</v>
      </c>
      <c r="Q41" s="18">
        <f>'Formato 6 a)'!C48</f>
        <v>200000</v>
      </c>
      <c r="R41" s="18">
        <f>'Formato 6 a)'!D48</f>
        <v>27356574.969999999</v>
      </c>
      <c r="S41" s="18">
        <f>'Formato 6 a)'!E48</f>
        <v>3444728.02</v>
      </c>
      <c r="T41" s="18">
        <f>'Formato 6 a)'!F48</f>
        <v>3420001.46</v>
      </c>
      <c r="U41" s="18">
        <f>'Formato 6 a)'!G48</f>
        <v>23911846.949999999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3018734.56</v>
      </c>
      <c r="Q42" s="18">
        <f>'Formato 6 a)'!C49</f>
        <v>0</v>
      </c>
      <c r="R42" s="18">
        <f>'Formato 6 a)'!D49</f>
        <v>3018734.56</v>
      </c>
      <c r="S42" s="18">
        <f>'Formato 6 a)'!E49</f>
        <v>86987.200000000012</v>
      </c>
      <c r="T42" s="18">
        <f>'Formato 6 a)'!F49</f>
        <v>86987.200000000012</v>
      </c>
      <c r="U42" s="18">
        <f>'Formato 6 a)'!G49</f>
        <v>2931747.36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86700</v>
      </c>
      <c r="Q43" s="18">
        <f>'Formato 6 a)'!C50</f>
        <v>0</v>
      </c>
      <c r="R43" s="18">
        <f>'Formato 6 a)'!D50</f>
        <v>86700</v>
      </c>
      <c r="S43" s="18">
        <f>'Formato 6 a)'!E50</f>
        <v>0</v>
      </c>
      <c r="T43" s="18">
        <f>'Formato 6 a)'!F50</f>
        <v>0</v>
      </c>
      <c r="U43" s="18">
        <f>'Formato 6 a)'!G50</f>
        <v>86700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2250000</v>
      </c>
      <c r="Q44" s="18">
        <f>'Formato 6 a)'!C51</f>
        <v>0</v>
      </c>
      <c r="R44" s="18">
        <f>'Formato 6 a)'!D51</f>
        <v>2250000</v>
      </c>
      <c r="S44" s="18">
        <f>'Formato 6 a)'!E51</f>
        <v>0</v>
      </c>
      <c r="T44" s="18">
        <f>'Formato 6 a)'!F51</f>
        <v>0</v>
      </c>
      <c r="U44" s="18">
        <f>'Formato 6 a)'!G51</f>
        <v>2250000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2000000</v>
      </c>
      <c r="Q45" s="18">
        <f>'Formato 6 a)'!C52</f>
        <v>200000</v>
      </c>
      <c r="R45" s="18">
        <f>'Formato 6 a)'!D52</f>
        <v>2200000</v>
      </c>
      <c r="S45" s="18">
        <f>'Formato 6 a)'!E52</f>
        <v>1394577.98</v>
      </c>
      <c r="T45" s="18">
        <f>'Formato 6 a)'!F52</f>
        <v>1394577.98</v>
      </c>
      <c r="U45" s="18">
        <f>'Formato 6 a)'!G52</f>
        <v>805422.02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15901140.41</v>
      </c>
      <c r="Q47" s="18">
        <f>'Formato 6 a)'!C54</f>
        <v>0</v>
      </c>
      <c r="R47" s="18">
        <f>'Formato 6 a)'!D54</f>
        <v>15901140.41</v>
      </c>
      <c r="S47" s="18">
        <f>'Formato 6 a)'!E54</f>
        <v>1151162.8400000001</v>
      </c>
      <c r="T47" s="18">
        <f>'Formato 6 a)'!F54</f>
        <v>1126436.28</v>
      </c>
      <c r="U47" s="18">
        <f>'Formato 6 a)'!G54</f>
        <v>14749977.57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3900000</v>
      </c>
      <c r="Q49" s="18">
        <f>'Formato 6 a)'!C56</f>
        <v>0</v>
      </c>
      <c r="R49" s="18">
        <f>'Formato 6 a)'!D56</f>
        <v>3900000</v>
      </c>
      <c r="S49" s="18">
        <f>'Formato 6 a)'!E56</f>
        <v>812000</v>
      </c>
      <c r="T49" s="18">
        <f>'Formato 6 a)'!F56</f>
        <v>812000</v>
      </c>
      <c r="U49" s="18">
        <f>'Formato 6 a)'!G56</f>
        <v>3088000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199535162.77999997</v>
      </c>
      <c r="R55" s="18">
        <f>'Formato 6 a)'!D62</f>
        <v>199535162.77999997</v>
      </c>
      <c r="S55" s="18">
        <f>'Formato 6 a)'!E62</f>
        <v>0</v>
      </c>
      <c r="T55" s="18">
        <f>'Formato 6 a)'!F62</f>
        <v>0</v>
      </c>
      <c r="U55" s="18">
        <f>'Formato 6 a)'!G62</f>
        <v>199535162.77999997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199535162.77999997</v>
      </c>
      <c r="R63" s="18">
        <f>'Formato 6 a)'!D70</f>
        <v>199535162.77999997</v>
      </c>
      <c r="S63" s="18">
        <f>'Formato 6 a)'!E70</f>
        <v>0</v>
      </c>
      <c r="T63" s="18">
        <f>'Formato 6 a)'!F70</f>
        <v>0</v>
      </c>
      <c r="U63" s="18">
        <f>'Formato 6 a)'!G70</f>
        <v>199535162.77999997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44551806.629999995</v>
      </c>
      <c r="R64" s="18">
        <f>'Formato 6 a)'!D71</f>
        <v>44551806.629999995</v>
      </c>
      <c r="S64" s="18">
        <f>'Formato 6 a)'!E71</f>
        <v>0</v>
      </c>
      <c r="T64" s="18">
        <f>'Formato 6 a)'!F71</f>
        <v>0</v>
      </c>
      <c r="U64" s="18">
        <f>'Formato 6 a)'!G71</f>
        <v>44551806.629999995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44551806.629999995</v>
      </c>
      <c r="R67" s="18">
        <f>'Formato 6 a)'!D74</f>
        <v>44551806.629999995</v>
      </c>
      <c r="S67" s="18">
        <f>'Formato 6 a)'!E74</f>
        <v>0</v>
      </c>
      <c r="T67" s="18">
        <f>'Formato 6 a)'!F74</f>
        <v>0</v>
      </c>
      <c r="U67" s="18">
        <f>'Formato 6 a)'!G74</f>
        <v>44551806.629999995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210295969.19999999</v>
      </c>
      <c r="Q76">
        <f>'Formato 6 a)'!C84</f>
        <v>69099428.270000055</v>
      </c>
      <c r="R76">
        <f>'Formato 6 a)'!D84</f>
        <v>279395397.47000003</v>
      </c>
      <c r="S76">
        <f>'Formato 6 a)'!E84</f>
        <v>36083715.520000003</v>
      </c>
      <c r="T76">
        <f>'Formato 6 a)'!F84</f>
        <v>36083715.520000003</v>
      </c>
      <c r="U76">
        <f>'Formato 6 a)'!G84</f>
        <v>243311681.95000002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210295969.19999999</v>
      </c>
      <c r="Q125">
        <f>'Formato 6 a)'!C133</f>
        <v>69099428.270000055</v>
      </c>
      <c r="R125">
        <f>'Formato 6 a)'!D133</f>
        <v>279395397.47000003</v>
      </c>
      <c r="S125">
        <f>'Formato 6 a)'!E133</f>
        <v>36083715.520000003</v>
      </c>
      <c r="T125">
        <f>'Formato 6 a)'!F133</f>
        <v>36083715.520000003</v>
      </c>
      <c r="U125">
        <f>'Formato 6 a)'!G133</f>
        <v>243311681.95000002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156031828.79999998</v>
      </c>
      <c r="Q126">
        <f>'Formato 6 a)'!C134</f>
        <v>58467804.460000038</v>
      </c>
      <c r="R126">
        <f>'Formato 6 a)'!D134</f>
        <v>214499633.26000002</v>
      </c>
      <c r="S126">
        <f>'Formato 6 a)'!E134</f>
        <v>32123879</v>
      </c>
      <c r="T126">
        <f>'Formato 6 a)'!F134</f>
        <v>32123879</v>
      </c>
      <c r="U126">
        <f>'Formato 6 a)'!G134</f>
        <v>182375754.26000002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54264140.399999991</v>
      </c>
      <c r="Q127">
        <f>'Formato 6 a)'!C135</f>
        <v>10631623.810000017</v>
      </c>
      <c r="R127">
        <f>'Formato 6 a)'!D135</f>
        <v>64895764.210000008</v>
      </c>
      <c r="S127">
        <f>'Formato 6 a)'!E135</f>
        <v>3959836.5200000005</v>
      </c>
      <c r="T127">
        <f>'Formato 6 a)'!F135</f>
        <v>3959836.5200000005</v>
      </c>
      <c r="U127">
        <f>'Formato 6 a)'!G135</f>
        <v>60935927.690000005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586603556.62999988</v>
      </c>
      <c r="Q150">
        <f>'Formato 6 a)'!C159</f>
        <v>313386397.68000001</v>
      </c>
      <c r="R150">
        <f>'Formato 6 a)'!D159</f>
        <v>899989954.31000006</v>
      </c>
      <c r="S150">
        <f>'Formato 6 a)'!E159</f>
        <v>99686040.160000011</v>
      </c>
      <c r="T150">
        <f>'Formato 6 a)'!F159</f>
        <v>99288851.13000001</v>
      </c>
      <c r="U150">
        <f>'Formato 6 a)'!G159</f>
        <v>800303914.14999998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31"/>
  <sheetViews>
    <sheetView showGridLines="0" topLeftCell="A2" workbookViewId="0">
      <selection activeCell="A5" sqref="A5:G5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3282</v>
      </c>
      <c r="B1" s="172"/>
      <c r="C1" s="172"/>
      <c r="D1" s="172"/>
      <c r="E1" s="172"/>
      <c r="F1" s="172"/>
      <c r="G1" s="172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marzo de 2019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x14ac:dyDescent="0.25">
      <c r="A9" s="52" t="s">
        <v>432</v>
      </c>
      <c r="B9" s="59">
        <f>SUM(B10:GASTO_NE_FIN_01)</f>
        <v>376307587.43000001</v>
      </c>
      <c r="C9" s="59">
        <f>SUM(C10:GASTO_NE_FIN_02)</f>
        <v>244286969.41</v>
      </c>
      <c r="D9" s="59">
        <f>SUM(D10:GASTO_NE_FIN_03)</f>
        <v>620594556.83999991</v>
      </c>
      <c r="E9" s="59">
        <f>SUM(E10:GASTO_NE_FIN_04)</f>
        <v>63602324.640000015</v>
      </c>
      <c r="F9" s="59">
        <f>SUM(F10:GASTO_NE_FIN_05)</f>
        <v>63205135.610000014</v>
      </c>
      <c r="G9" s="59">
        <f>SUM(G10:GASTO_NE_FIN_06)</f>
        <v>556992232.19999981</v>
      </c>
    </row>
    <row r="10" spans="1:7" s="24" customFormat="1" x14ac:dyDescent="0.25">
      <c r="A10" s="144" t="s">
        <v>3297</v>
      </c>
      <c r="B10" s="60">
        <v>3688278.5700000003</v>
      </c>
      <c r="C10" s="60">
        <v>0</v>
      </c>
      <c r="D10" s="60">
        <v>3688278.5700000003</v>
      </c>
      <c r="E10" s="60">
        <v>385487.33</v>
      </c>
      <c r="F10" s="60">
        <v>385487.33</v>
      </c>
      <c r="G10" s="77">
        <f>D10-E10</f>
        <v>3302791.24</v>
      </c>
    </row>
    <row r="11" spans="1:7" s="24" customFormat="1" x14ac:dyDescent="0.25">
      <c r="A11" s="144" t="s">
        <v>3298</v>
      </c>
      <c r="B11" s="60">
        <v>2220105.75</v>
      </c>
      <c r="C11" s="60">
        <v>0</v>
      </c>
      <c r="D11" s="60">
        <v>2220105.75</v>
      </c>
      <c r="E11" s="60">
        <v>450605.97000000003</v>
      </c>
      <c r="F11" s="60">
        <v>450605.97000000003</v>
      </c>
      <c r="G11" s="77">
        <f t="shared" ref="G11:G20" si="0">D11-E11</f>
        <v>1769499.78</v>
      </c>
    </row>
    <row r="12" spans="1:7" s="24" customFormat="1" x14ac:dyDescent="0.25">
      <c r="A12" s="144" t="s">
        <v>3299</v>
      </c>
      <c r="B12" s="60">
        <v>4374543.5600000005</v>
      </c>
      <c r="C12" s="60">
        <v>0</v>
      </c>
      <c r="D12" s="60">
        <v>4374543.5600000005</v>
      </c>
      <c r="E12" s="60">
        <v>999243.21999999986</v>
      </c>
      <c r="F12" s="60">
        <v>999243.21999999986</v>
      </c>
      <c r="G12" s="77">
        <f t="shared" si="0"/>
        <v>3375300.3400000008</v>
      </c>
    </row>
    <row r="13" spans="1:7" s="24" customFormat="1" x14ac:dyDescent="0.25">
      <c r="A13" s="144" t="s">
        <v>3300</v>
      </c>
      <c r="B13" s="60">
        <v>3876415.9099999997</v>
      </c>
      <c r="C13" s="60">
        <v>0</v>
      </c>
      <c r="D13" s="60">
        <v>3876415.9099999997</v>
      </c>
      <c r="E13" s="60">
        <v>1009341.2300000001</v>
      </c>
      <c r="F13" s="60">
        <v>1009341.2300000001</v>
      </c>
      <c r="G13" s="77">
        <f t="shared" si="0"/>
        <v>2867074.6799999997</v>
      </c>
    </row>
    <row r="14" spans="1:7" s="24" customFormat="1" x14ac:dyDescent="0.25">
      <c r="A14" s="144" t="s">
        <v>3301</v>
      </c>
      <c r="B14" s="60">
        <v>1936714.19</v>
      </c>
      <c r="C14" s="60">
        <v>0</v>
      </c>
      <c r="D14" s="60">
        <v>1936714.19</v>
      </c>
      <c r="E14" s="60">
        <v>686468.76000000024</v>
      </c>
      <c r="F14" s="60">
        <v>686468.76000000024</v>
      </c>
      <c r="G14" s="77">
        <f t="shared" si="0"/>
        <v>1250245.4299999997</v>
      </c>
    </row>
    <row r="15" spans="1:7" s="24" customFormat="1" x14ac:dyDescent="0.25">
      <c r="A15" s="144" t="s">
        <v>3302</v>
      </c>
      <c r="B15" s="60">
        <v>650443.49</v>
      </c>
      <c r="C15" s="60">
        <v>0</v>
      </c>
      <c r="D15" s="60">
        <v>650443.49</v>
      </c>
      <c r="E15" s="60">
        <v>130251.23</v>
      </c>
      <c r="F15" s="60">
        <v>130251.23</v>
      </c>
      <c r="G15" s="77">
        <f t="shared" si="0"/>
        <v>520192.26</v>
      </c>
    </row>
    <row r="16" spans="1:7" s="24" customFormat="1" x14ac:dyDescent="0.25">
      <c r="A16" s="144" t="s">
        <v>3303</v>
      </c>
      <c r="B16" s="60">
        <v>2690427.07</v>
      </c>
      <c r="C16" s="60">
        <v>0</v>
      </c>
      <c r="D16" s="60">
        <v>2690427.07</v>
      </c>
      <c r="E16" s="60">
        <v>363389.08</v>
      </c>
      <c r="F16" s="60">
        <v>363389.08</v>
      </c>
      <c r="G16" s="77">
        <f t="shared" si="0"/>
        <v>2327037.9899999998</v>
      </c>
    </row>
    <row r="17" spans="1:7" s="24" customFormat="1" x14ac:dyDescent="0.25">
      <c r="A17" s="144" t="s">
        <v>3304</v>
      </c>
      <c r="B17" s="60">
        <v>4657861</v>
      </c>
      <c r="C17" s="60">
        <v>0</v>
      </c>
      <c r="D17" s="60">
        <v>4657861</v>
      </c>
      <c r="E17" s="60">
        <v>1082020.8999999999</v>
      </c>
      <c r="F17" s="60">
        <v>1082020.8999999999</v>
      </c>
      <c r="G17" s="77">
        <f t="shared" si="0"/>
        <v>3575840.1</v>
      </c>
    </row>
    <row r="18" spans="1:7" s="24" customFormat="1" x14ac:dyDescent="0.25">
      <c r="A18" s="144" t="s">
        <v>3305</v>
      </c>
      <c r="B18" s="60">
        <v>1328982.68</v>
      </c>
      <c r="C18" s="60">
        <v>0</v>
      </c>
      <c r="D18" s="60">
        <v>1328982.68</v>
      </c>
      <c r="E18" s="60">
        <v>264079.18999999994</v>
      </c>
      <c r="F18" s="60">
        <v>264079.18999999994</v>
      </c>
      <c r="G18" s="77">
        <f t="shared" si="0"/>
        <v>1064903.49</v>
      </c>
    </row>
    <row r="19" spans="1:7" s="24" customFormat="1" x14ac:dyDescent="0.25">
      <c r="A19" s="144" t="s">
        <v>3306</v>
      </c>
      <c r="B19" s="60">
        <v>2164783.87</v>
      </c>
      <c r="C19" s="60">
        <v>0</v>
      </c>
      <c r="D19" s="60">
        <v>2164783.87</v>
      </c>
      <c r="E19" s="60">
        <v>407000.15</v>
      </c>
      <c r="F19" s="60">
        <v>407000.15</v>
      </c>
      <c r="G19" s="77">
        <f t="shared" si="0"/>
        <v>1757783.7200000002</v>
      </c>
    </row>
    <row r="20" spans="1:7" s="24" customFormat="1" x14ac:dyDescent="0.25">
      <c r="A20" s="144" t="s">
        <v>3307</v>
      </c>
      <c r="B20" s="60">
        <v>933980.96</v>
      </c>
      <c r="C20" s="60">
        <v>0</v>
      </c>
      <c r="D20" s="60">
        <v>933980.96</v>
      </c>
      <c r="E20" s="60">
        <v>181700.83999999997</v>
      </c>
      <c r="F20" s="60">
        <v>181700.83999999997</v>
      </c>
      <c r="G20" s="77">
        <f t="shared" si="0"/>
        <v>752280.12</v>
      </c>
    </row>
    <row r="21" spans="1:7" s="24" customFormat="1" x14ac:dyDescent="0.25">
      <c r="A21" s="144" t="s">
        <v>3308</v>
      </c>
      <c r="B21" s="60">
        <v>24185936.43</v>
      </c>
      <c r="C21" s="60">
        <v>0</v>
      </c>
      <c r="D21" s="60">
        <v>24185936.43</v>
      </c>
      <c r="E21" s="60">
        <v>3208138.75</v>
      </c>
      <c r="F21" s="60">
        <v>3180431.98</v>
      </c>
      <c r="G21" s="77">
        <f t="shared" ref="G21:G45" si="1">D21-E21</f>
        <v>20977797.68</v>
      </c>
    </row>
    <row r="22" spans="1:7" s="24" customFormat="1" x14ac:dyDescent="0.25">
      <c r="A22" s="144" t="s">
        <v>3309</v>
      </c>
      <c r="B22" s="60">
        <v>13085783.5</v>
      </c>
      <c r="C22" s="60">
        <v>-0.55999999865889549</v>
      </c>
      <c r="D22" s="60">
        <v>13085782.940000001</v>
      </c>
      <c r="E22" s="60">
        <v>2430869.77</v>
      </c>
      <c r="F22" s="60">
        <v>2430869.77</v>
      </c>
      <c r="G22" s="77">
        <f t="shared" si="1"/>
        <v>10654913.170000002</v>
      </c>
    </row>
    <row r="23" spans="1:7" s="24" customFormat="1" x14ac:dyDescent="0.25">
      <c r="A23" s="144" t="s">
        <v>3310</v>
      </c>
      <c r="B23" s="60">
        <v>9677173.7899999991</v>
      </c>
      <c r="C23" s="60">
        <v>0</v>
      </c>
      <c r="D23" s="60">
        <v>9677173.7899999991</v>
      </c>
      <c r="E23" s="60">
        <v>2439590.4499999997</v>
      </c>
      <c r="F23" s="60">
        <v>2384162.6100000003</v>
      </c>
      <c r="G23" s="77">
        <f t="shared" si="1"/>
        <v>7237583.3399999999</v>
      </c>
    </row>
    <row r="24" spans="1:7" s="24" customFormat="1" x14ac:dyDescent="0.25">
      <c r="A24" s="144" t="s">
        <v>3311</v>
      </c>
      <c r="B24" s="60">
        <v>4599815.8999999994</v>
      </c>
      <c r="C24" s="60">
        <v>0</v>
      </c>
      <c r="D24" s="60">
        <v>4599815.8999999994</v>
      </c>
      <c r="E24" s="60">
        <v>598036.15</v>
      </c>
      <c r="F24" s="60">
        <v>521036.15</v>
      </c>
      <c r="G24" s="77">
        <f t="shared" si="1"/>
        <v>4001779.7499999995</v>
      </c>
    </row>
    <row r="25" spans="1:7" s="24" customFormat="1" x14ac:dyDescent="0.25">
      <c r="A25" s="144" t="s">
        <v>3312</v>
      </c>
      <c r="B25" s="60">
        <v>5857617.0899999999</v>
      </c>
      <c r="C25" s="60">
        <v>0.86000000033527613</v>
      </c>
      <c r="D25" s="60">
        <v>5857617.9500000002</v>
      </c>
      <c r="E25" s="60">
        <v>1195399.7100000002</v>
      </c>
      <c r="F25" s="60">
        <v>1195399.7100000002</v>
      </c>
      <c r="G25" s="77">
        <f t="shared" si="1"/>
        <v>4662218.24</v>
      </c>
    </row>
    <row r="26" spans="1:7" s="24" customFormat="1" x14ac:dyDescent="0.25">
      <c r="A26" s="144" t="s">
        <v>3313</v>
      </c>
      <c r="B26" s="60">
        <v>6200524.3399999999</v>
      </c>
      <c r="C26" s="60">
        <v>0</v>
      </c>
      <c r="D26" s="60">
        <v>6200524.3399999999</v>
      </c>
      <c r="E26" s="60">
        <v>1054380.6199999999</v>
      </c>
      <c r="F26" s="60">
        <v>1016207.0999999999</v>
      </c>
      <c r="G26" s="77">
        <f t="shared" si="1"/>
        <v>5146143.72</v>
      </c>
    </row>
    <row r="27" spans="1:7" s="24" customFormat="1" x14ac:dyDescent="0.25">
      <c r="A27" s="144" t="s">
        <v>3314</v>
      </c>
      <c r="B27" s="60">
        <v>1065128.0900000001</v>
      </c>
      <c r="C27" s="60">
        <v>0</v>
      </c>
      <c r="D27" s="60">
        <v>1065128.0900000001</v>
      </c>
      <c r="E27" s="60">
        <v>194077.96000000005</v>
      </c>
      <c r="F27" s="60">
        <v>194077.96000000005</v>
      </c>
      <c r="G27" s="77">
        <f t="shared" si="1"/>
        <v>871050.13</v>
      </c>
    </row>
    <row r="28" spans="1:7" s="24" customFormat="1" x14ac:dyDescent="0.25">
      <c r="A28" s="144" t="s">
        <v>3315</v>
      </c>
      <c r="B28" s="60">
        <v>1702313.81</v>
      </c>
      <c r="C28" s="60">
        <v>0</v>
      </c>
      <c r="D28" s="60">
        <v>1702313.81</v>
      </c>
      <c r="E28" s="60">
        <v>346470.03</v>
      </c>
      <c r="F28" s="60">
        <v>346470.03</v>
      </c>
      <c r="G28" s="77">
        <f t="shared" si="1"/>
        <v>1355843.78</v>
      </c>
    </row>
    <row r="29" spans="1:7" s="24" customFormat="1" x14ac:dyDescent="0.25">
      <c r="A29" s="144" t="s">
        <v>3316</v>
      </c>
      <c r="B29" s="60">
        <v>1979870.89</v>
      </c>
      <c r="C29" s="60">
        <v>0</v>
      </c>
      <c r="D29" s="60">
        <v>1979870.89</v>
      </c>
      <c r="E29" s="60">
        <v>382669.05</v>
      </c>
      <c r="F29" s="60">
        <v>382669.05</v>
      </c>
      <c r="G29" s="77">
        <f t="shared" si="1"/>
        <v>1597201.8399999999</v>
      </c>
    </row>
    <row r="30" spans="1:7" s="24" customFormat="1" x14ac:dyDescent="0.25">
      <c r="A30" s="144" t="s">
        <v>3317</v>
      </c>
      <c r="B30" s="60">
        <v>4243868.92</v>
      </c>
      <c r="C30" s="60">
        <v>0</v>
      </c>
      <c r="D30" s="60">
        <v>4243868.92</v>
      </c>
      <c r="E30" s="60">
        <v>831324.53000000026</v>
      </c>
      <c r="F30" s="60">
        <v>829159.9700000002</v>
      </c>
      <c r="G30" s="77">
        <f t="shared" si="1"/>
        <v>3412544.3899999997</v>
      </c>
    </row>
    <row r="31" spans="1:7" s="24" customFormat="1" x14ac:dyDescent="0.25">
      <c r="A31" s="144" t="s">
        <v>3318</v>
      </c>
      <c r="B31" s="60">
        <v>1542636.8599999999</v>
      </c>
      <c r="C31" s="60">
        <v>0</v>
      </c>
      <c r="D31" s="60">
        <v>1542636.8599999999</v>
      </c>
      <c r="E31" s="60">
        <v>314107.62</v>
      </c>
      <c r="F31" s="60">
        <v>314107.62</v>
      </c>
      <c r="G31" s="77">
        <f t="shared" si="1"/>
        <v>1228529.2399999998</v>
      </c>
    </row>
    <row r="32" spans="1:7" s="24" customFormat="1" x14ac:dyDescent="0.25">
      <c r="A32" s="144" t="s">
        <v>3319</v>
      </c>
      <c r="B32" s="60">
        <v>2987338.4</v>
      </c>
      <c r="C32" s="60">
        <v>0</v>
      </c>
      <c r="D32" s="60">
        <v>2987338.4</v>
      </c>
      <c r="E32" s="60">
        <v>622403.59</v>
      </c>
      <c r="F32" s="60">
        <v>622403.59</v>
      </c>
      <c r="G32" s="77">
        <f t="shared" si="1"/>
        <v>2364934.81</v>
      </c>
    </row>
    <row r="33" spans="1:7" s="24" customFormat="1" x14ac:dyDescent="0.25">
      <c r="A33" s="144" t="s">
        <v>3320</v>
      </c>
      <c r="B33" s="60">
        <v>13494343.619999999</v>
      </c>
      <c r="C33" s="60">
        <v>0</v>
      </c>
      <c r="D33" s="60">
        <v>13494343.619999999</v>
      </c>
      <c r="E33" s="60">
        <v>982563.09</v>
      </c>
      <c r="F33" s="60">
        <v>982563.09</v>
      </c>
      <c r="G33" s="77">
        <f t="shared" si="1"/>
        <v>12511780.529999999</v>
      </c>
    </row>
    <row r="34" spans="1:7" s="24" customFormat="1" x14ac:dyDescent="0.25">
      <c r="A34" s="144" t="s">
        <v>3321</v>
      </c>
      <c r="B34" s="60">
        <v>6918681.1899999985</v>
      </c>
      <c r="C34" s="60">
        <v>0</v>
      </c>
      <c r="D34" s="60">
        <v>6918681.1899999985</v>
      </c>
      <c r="E34" s="60">
        <v>1409497.4</v>
      </c>
      <c r="F34" s="60">
        <v>1409497.4</v>
      </c>
      <c r="G34" s="77">
        <f t="shared" si="1"/>
        <v>5509183.7899999991</v>
      </c>
    </row>
    <row r="35" spans="1:7" s="24" customFormat="1" x14ac:dyDescent="0.25">
      <c r="A35" s="144" t="s">
        <v>3322</v>
      </c>
      <c r="B35" s="60">
        <v>963140.97</v>
      </c>
      <c r="C35" s="60">
        <v>0</v>
      </c>
      <c r="D35" s="60">
        <v>963140.97</v>
      </c>
      <c r="E35" s="60">
        <v>187236.01</v>
      </c>
      <c r="F35" s="60">
        <v>187236.01</v>
      </c>
      <c r="G35" s="77">
        <f t="shared" si="1"/>
        <v>775904.96</v>
      </c>
    </row>
    <row r="36" spans="1:7" s="24" customFormat="1" x14ac:dyDescent="0.25">
      <c r="A36" s="144" t="s">
        <v>3323</v>
      </c>
      <c r="B36" s="60">
        <v>27437074.849999998</v>
      </c>
      <c r="C36" s="60">
        <v>0</v>
      </c>
      <c r="D36" s="60">
        <v>27437074.849999998</v>
      </c>
      <c r="E36" s="60">
        <v>6825462.8600000013</v>
      </c>
      <c r="F36" s="60">
        <v>6825462.8600000013</v>
      </c>
      <c r="G36" s="77">
        <f t="shared" si="1"/>
        <v>20611611.989999995</v>
      </c>
    </row>
    <row r="37" spans="1:7" s="24" customFormat="1" x14ac:dyDescent="0.25">
      <c r="A37" s="144" t="s">
        <v>3324</v>
      </c>
      <c r="B37" s="60">
        <v>4193870.7499999995</v>
      </c>
      <c r="C37" s="60">
        <v>0</v>
      </c>
      <c r="D37" s="60">
        <v>4193870.7499999995</v>
      </c>
      <c r="E37" s="60">
        <v>838223.26000000013</v>
      </c>
      <c r="F37" s="60">
        <v>838223.26000000013</v>
      </c>
      <c r="G37" s="77">
        <f t="shared" si="1"/>
        <v>3355647.4899999993</v>
      </c>
    </row>
    <row r="38" spans="1:7" s="24" customFormat="1" x14ac:dyDescent="0.25">
      <c r="A38" s="144" t="s">
        <v>3325</v>
      </c>
      <c r="B38" s="60">
        <v>3048579.6399999997</v>
      </c>
      <c r="C38" s="60">
        <v>0</v>
      </c>
      <c r="D38" s="60">
        <v>3048579.6399999997</v>
      </c>
      <c r="E38" s="60">
        <v>613063.04</v>
      </c>
      <c r="F38" s="60">
        <v>613063.04</v>
      </c>
      <c r="G38" s="77">
        <f t="shared" si="1"/>
        <v>2435516.5999999996</v>
      </c>
    </row>
    <row r="39" spans="1:7" s="24" customFormat="1" x14ac:dyDescent="0.25">
      <c r="A39" s="144" t="s">
        <v>3326</v>
      </c>
      <c r="B39" s="60">
        <v>3549620.5200000005</v>
      </c>
      <c r="C39" s="60">
        <v>0</v>
      </c>
      <c r="D39" s="60">
        <v>3549620.5200000005</v>
      </c>
      <c r="E39" s="60">
        <v>708752.81</v>
      </c>
      <c r="F39" s="60">
        <v>708752.81</v>
      </c>
      <c r="G39" s="77">
        <f t="shared" si="1"/>
        <v>2840867.7100000004</v>
      </c>
    </row>
    <row r="40" spans="1:7" s="24" customFormat="1" x14ac:dyDescent="0.25">
      <c r="A40" s="144" t="s">
        <v>3327</v>
      </c>
      <c r="B40" s="60">
        <v>1711556.8199999998</v>
      </c>
      <c r="C40" s="60">
        <v>0</v>
      </c>
      <c r="D40" s="60">
        <v>1711556.8199999998</v>
      </c>
      <c r="E40" s="60">
        <v>347896.39</v>
      </c>
      <c r="F40" s="60">
        <v>347896.39</v>
      </c>
      <c r="G40" s="77">
        <f t="shared" si="1"/>
        <v>1363660.4299999997</v>
      </c>
    </row>
    <row r="41" spans="1:7" s="24" customFormat="1" x14ac:dyDescent="0.25">
      <c r="A41" s="144" t="s">
        <v>3328</v>
      </c>
      <c r="B41" s="60">
        <v>7318024</v>
      </c>
      <c r="C41" s="60">
        <v>0</v>
      </c>
      <c r="D41" s="60">
        <v>7318024</v>
      </c>
      <c r="E41" s="60">
        <v>1213648.4300000002</v>
      </c>
      <c r="F41" s="60">
        <v>1206688.4300000002</v>
      </c>
      <c r="G41" s="77">
        <f t="shared" si="1"/>
        <v>6104375.5700000003</v>
      </c>
    </row>
    <row r="42" spans="1:7" s="24" customFormat="1" x14ac:dyDescent="0.25">
      <c r="A42" s="144" t="s">
        <v>3329</v>
      </c>
      <c r="B42" s="60">
        <v>3187249.1399999997</v>
      </c>
      <c r="C42" s="60">
        <v>0</v>
      </c>
      <c r="D42" s="60">
        <v>3187249.1399999997</v>
      </c>
      <c r="E42" s="60">
        <v>602563.96</v>
      </c>
      <c r="F42" s="60">
        <v>598141.79999999993</v>
      </c>
      <c r="G42" s="77">
        <f t="shared" si="1"/>
        <v>2584685.1799999997</v>
      </c>
    </row>
    <row r="43" spans="1:7" s="24" customFormat="1" x14ac:dyDescent="0.25">
      <c r="A43" s="144" t="s">
        <v>3330</v>
      </c>
      <c r="B43" s="60">
        <v>721699.72000000009</v>
      </c>
      <c r="C43" s="60">
        <v>0</v>
      </c>
      <c r="D43" s="60">
        <v>721699.72000000009</v>
      </c>
      <c r="E43" s="60">
        <v>148586.74</v>
      </c>
      <c r="F43" s="60">
        <v>148586.74</v>
      </c>
      <c r="G43" s="77">
        <f t="shared" si="1"/>
        <v>573112.9800000001</v>
      </c>
    </row>
    <row r="44" spans="1:7" s="24" customFormat="1" x14ac:dyDescent="0.25">
      <c r="A44" s="144" t="s">
        <v>3331</v>
      </c>
      <c r="B44" s="60">
        <v>72202568.140000015</v>
      </c>
      <c r="C44" s="60">
        <v>0</v>
      </c>
      <c r="D44" s="60">
        <v>72202568.140000015</v>
      </c>
      <c r="E44" s="60">
        <v>18155427.909999996</v>
      </c>
      <c r="F44" s="60">
        <v>18058919.390000001</v>
      </c>
      <c r="G44" s="77">
        <f t="shared" si="1"/>
        <v>54047140.230000019</v>
      </c>
    </row>
    <row r="45" spans="1:7" s="24" customFormat="1" x14ac:dyDescent="0.25">
      <c r="A45" s="144" t="s">
        <v>3332</v>
      </c>
      <c r="B45" s="60">
        <v>6367740.7200000007</v>
      </c>
      <c r="C45" s="60">
        <v>0</v>
      </c>
      <c r="D45" s="60">
        <v>6367740.7199999997</v>
      </c>
      <c r="E45" s="60">
        <v>1115981.1400000004</v>
      </c>
      <c r="F45" s="60">
        <v>1115981.1400000004</v>
      </c>
      <c r="G45" s="77">
        <f t="shared" si="1"/>
        <v>5251759.5799999991</v>
      </c>
    </row>
    <row r="46" spans="1:7" s="24" customFormat="1" x14ac:dyDescent="0.25">
      <c r="A46" s="144" t="s">
        <v>3333</v>
      </c>
      <c r="B46" s="60">
        <v>8991205.6500000004</v>
      </c>
      <c r="C46" s="60">
        <v>0</v>
      </c>
      <c r="D46" s="60">
        <v>8991205.6500000004</v>
      </c>
      <c r="E46" s="60">
        <v>837151.14999999991</v>
      </c>
      <c r="F46" s="60">
        <v>837151.14999999991</v>
      </c>
      <c r="G46" s="77">
        <f t="shared" ref="G46:G55" si="2">D46-E46</f>
        <v>8154054.5</v>
      </c>
    </row>
    <row r="47" spans="1:7" s="24" customFormat="1" x14ac:dyDescent="0.25">
      <c r="A47" s="144" t="s">
        <v>3334</v>
      </c>
      <c r="B47" s="60">
        <v>3260036.46</v>
      </c>
      <c r="C47" s="60">
        <v>0</v>
      </c>
      <c r="D47" s="60">
        <v>3260036.46</v>
      </c>
      <c r="E47" s="60">
        <v>393298.35000000003</v>
      </c>
      <c r="F47" s="60">
        <v>393298.35000000003</v>
      </c>
      <c r="G47" s="77">
        <f t="shared" si="2"/>
        <v>2866738.11</v>
      </c>
    </row>
    <row r="48" spans="1:7" s="24" customFormat="1" x14ac:dyDescent="0.25">
      <c r="A48" s="144" t="s">
        <v>3335</v>
      </c>
      <c r="B48" s="60">
        <v>3551541.52</v>
      </c>
      <c r="C48" s="60">
        <v>0</v>
      </c>
      <c r="D48" s="60">
        <v>3551541.52</v>
      </c>
      <c r="E48" s="60">
        <v>464514.38999999996</v>
      </c>
      <c r="F48" s="60">
        <v>445877.24999999994</v>
      </c>
      <c r="G48" s="77">
        <f t="shared" si="2"/>
        <v>3087027.13</v>
      </c>
    </row>
    <row r="49" spans="1:7" s="24" customFormat="1" x14ac:dyDescent="0.25">
      <c r="A49" s="144" t="s">
        <v>3336</v>
      </c>
      <c r="B49" s="60">
        <v>2103579.3199999994</v>
      </c>
      <c r="C49" s="60">
        <v>0</v>
      </c>
      <c r="D49" s="60">
        <v>2103579.3199999994</v>
      </c>
      <c r="E49" s="60">
        <v>426898.37000000005</v>
      </c>
      <c r="F49" s="60">
        <v>426898.37000000005</v>
      </c>
      <c r="G49" s="77">
        <f t="shared" si="2"/>
        <v>1676680.9499999993</v>
      </c>
    </row>
    <row r="50" spans="1:7" s="24" customFormat="1" x14ac:dyDescent="0.25">
      <c r="A50" s="144" t="s">
        <v>3337</v>
      </c>
      <c r="B50" s="60">
        <v>4126523.1999999997</v>
      </c>
      <c r="C50" s="60">
        <v>0</v>
      </c>
      <c r="D50" s="60">
        <v>4126523.1999999997</v>
      </c>
      <c r="E50" s="60">
        <v>849020.3899999999</v>
      </c>
      <c r="F50" s="60">
        <v>849020.3899999999</v>
      </c>
      <c r="G50" s="77">
        <f t="shared" si="2"/>
        <v>3277502.8099999996</v>
      </c>
    </row>
    <row r="51" spans="1:7" s="24" customFormat="1" x14ac:dyDescent="0.25">
      <c r="A51" s="144" t="s">
        <v>3338</v>
      </c>
      <c r="B51" s="60">
        <v>63774553.18</v>
      </c>
      <c r="C51" s="60">
        <v>0</v>
      </c>
      <c r="D51" s="60">
        <v>63774553.18</v>
      </c>
      <c r="E51" s="60">
        <v>1252975.43</v>
      </c>
      <c r="F51" s="60">
        <v>1248335.43</v>
      </c>
      <c r="G51" s="77">
        <f t="shared" si="2"/>
        <v>62521577.75</v>
      </c>
    </row>
    <row r="52" spans="1:7" s="24" customFormat="1" x14ac:dyDescent="0.25">
      <c r="A52" s="144" t="s">
        <v>3339</v>
      </c>
      <c r="B52" s="60">
        <v>4388204.75</v>
      </c>
      <c r="C52" s="60">
        <v>-0.29999999981373549</v>
      </c>
      <c r="D52" s="60">
        <v>4388204.45</v>
      </c>
      <c r="E52" s="60">
        <v>815023.45000000007</v>
      </c>
      <c r="F52" s="60">
        <v>809746.45000000007</v>
      </c>
      <c r="G52" s="77">
        <f t="shared" si="2"/>
        <v>3573181</v>
      </c>
    </row>
    <row r="53" spans="1:7" s="24" customFormat="1" x14ac:dyDescent="0.25">
      <c r="A53" s="144" t="s">
        <v>3340</v>
      </c>
      <c r="B53" s="60">
        <v>641469.15</v>
      </c>
      <c r="C53" s="60">
        <v>0</v>
      </c>
      <c r="D53" s="60">
        <v>641469.15</v>
      </c>
      <c r="E53" s="60">
        <v>129481.81</v>
      </c>
      <c r="F53" s="60">
        <v>129481.81</v>
      </c>
      <c r="G53" s="77">
        <f t="shared" si="2"/>
        <v>511987.34</v>
      </c>
    </row>
    <row r="54" spans="1:7" s="24" customFormat="1" x14ac:dyDescent="0.25">
      <c r="A54" s="144" t="s">
        <v>3341</v>
      </c>
      <c r="B54" s="60">
        <v>911431.2899999998</v>
      </c>
      <c r="C54" s="60">
        <v>0</v>
      </c>
      <c r="D54" s="60">
        <v>911431.2899999998</v>
      </c>
      <c r="E54" s="60">
        <v>186852.53999999998</v>
      </c>
      <c r="F54" s="60">
        <v>186852.53999999998</v>
      </c>
      <c r="G54" s="77">
        <f t="shared" si="2"/>
        <v>724578.74999999977</v>
      </c>
    </row>
    <row r="55" spans="1:7" s="24" customFormat="1" x14ac:dyDescent="0.25">
      <c r="A55" s="144" t="s">
        <v>3342</v>
      </c>
      <c r="B55" s="60">
        <v>2893848.4700000007</v>
      </c>
      <c r="C55" s="60">
        <v>0</v>
      </c>
      <c r="D55" s="60">
        <v>2893848.4700000007</v>
      </c>
      <c r="E55" s="60">
        <v>583737.69000000006</v>
      </c>
      <c r="F55" s="60">
        <v>583737.69000000006</v>
      </c>
      <c r="G55" s="77">
        <f t="shared" si="2"/>
        <v>2310110.7800000007</v>
      </c>
    </row>
    <row r="56" spans="1:7" s="24" customFormat="1" x14ac:dyDescent="0.25">
      <c r="A56" s="144" t="s">
        <v>3343</v>
      </c>
      <c r="B56" s="60">
        <v>563915.9</v>
      </c>
      <c r="C56" s="60">
        <v>0</v>
      </c>
      <c r="D56" s="60">
        <v>563915.9</v>
      </c>
      <c r="E56" s="60">
        <v>114467.50000000001</v>
      </c>
      <c r="F56" s="60">
        <v>114467.50000000001</v>
      </c>
      <c r="G56" s="77">
        <f t="shared" ref="G56:G60" si="3">D56-E56</f>
        <v>449448.4</v>
      </c>
    </row>
    <row r="57" spans="1:7" s="24" customFormat="1" x14ac:dyDescent="0.25">
      <c r="A57" s="144" t="s">
        <v>3344</v>
      </c>
      <c r="B57" s="60">
        <v>697818.9</v>
      </c>
      <c r="C57" s="60">
        <v>0</v>
      </c>
      <c r="D57" s="60">
        <v>697818.9</v>
      </c>
      <c r="E57" s="60">
        <v>128523.39000000001</v>
      </c>
      <c r="F57" s="60">
        <v>128523.39000000001</v>
      </c>
      <c r="G57" s="77">
        <f t="shared" si="3"/>
        <v>569295.51</v>
      </c>
    </row>
    <row r="58" spans="1:7" s="24" customFormat="1" x14ac:dyDescent="0.25">
      <c r="A58" s="144" t="s">
        <v>3345</v>
      </c>
      <c r="B58" s="60">
        <v>625642.87</v>
      </c>
      <c r="C58" s="60">
        <v>0</v>
      </c>
      <c r="D58" s="60">
        <v>625642.87</v>
      </c>
      <c r="E58" s="60">
        <v>126930.09000000001</v>
      </c>
      <c r="F58" s="60">
        <v>126930.09000000001</v>
      </c>
      <c r="G58" s="77">
        <f t="shared" si="3"/>
        <v>498712.77999999997</v>
      </c>
    </row>
    <row r="59" spans="1:7" s="24" customFormat="1" x14ac:dyDescent="0.25">
      <c r="A59" s="144" t="s">
        <v>3346</v>
      </c>
      <c r="B59" s="60">
        <v>1980033.4</v>
      </c>
      <c r="C59" s="60">
        <v>0</v>
      </c>
      <c r="D59" s="60">
        <v>1980033.4</v>
      </c>
      <c r="E59" s="60">
        <v>241149.03999999998</v>
      </c>
      <c r="F59" s="60">
        <v>241149.03999999998</v>
      </c>
      <c r="G59" s="77">
        <f t="shared" si="3"/>
        <v>1738884.3599999999</v>
      </c>
    </row>
    <row r="60" spans="1:7" s="24" customFormat="1" x14ac:dyDescent="0.25">
      <c r="A60" s="144" t="s">
        <v>3347</v>
      </c>
      <c r="B60" s="60">
        <v>4148902.1899999995</v>
      </c>
      <c r="C60" s="60">
        <v>0</v>
      </c>
      <c r="D60" s="60">
        <v>4148902.1899999995</v>
      </c>
      <c r="E60" s="60">
        <v>905242.08999999985</v>
      </c>
      <c r="F60" s="60">
        <v>882190.56999999983</v>
      </c>
      <c r="G60" s="77">
        <f t="shared" si="3"/>
        <v>3243660.0999999996</v>
      </c>
    </row>
    <row r="61" spans="1:7" s="24" customFormat="1" x14ac:dyDescent="0.25">
      <c r="A61" s="144" t="s">
        <v>3348</v>
      </c>
      <c r="B61" s="60">
        <v>1497127.9899999998</v>
      </c>
      <c r="C61" s="60">
        <v>0</v>
      </c>
      <c r="D61" s="60">
        <v>1497127.9899999998</v>
      </c>
      <c r="E61" s="60">
        <v>298552.83999999997</v>
      </c>
      <c r="F61" s="60">
        <v>298552.83999999997</v>
      </c>
      <c r="G61" s="77">
        <f t="shared" ref="G61:G67" si="4">D61-E61</f>
        <v>1198575.1499999999</v>
      </c>
    </row>
    <row r="62" spans="1:7" s="24" customFormat="1" x14ac:dyDescent="0.25">
      <c r="A62" s="144" t="s">
        <v>3349</v>
      </c>
      <c r="B62" s="60">
        <v>10190308.01</v>
      </c>
      <c r="C62" s="60">
        <v>0</v>
      </c>
      <c r="D62" s="60">
        <v>10190308.01</v>
      </c>
      <c r="E62" s="60">
        <v>2314847.34</v>
      </c>
      <c r="F62" s="60">
        <v>2314847.34</v>
      </c>
      <c r="G62" s="77">
        <f t="shared" si="4"/>
        <v>7875460.6699999999</v>
      </c>
    </row>
    <row r="63" spans="1:7" s="24" customFormat="1" x14ac:dyDescent="0.25">
      <c r="A63" s="144" t="s">
        <v>3350</v>
      </c>
      <c r="B63" s="60">
        <v>4304019.74</v>
      </c>
      <c r="C63" s="60">
        <v>0</v>
      </c>
      <c r="D63" s="60">
        <v>4304019.74</v>
      </c>
      <c r="E63" s="60">
        <v>709151.28</v>
      </c>
      <c r="F63" s="60">
        <v>674931.28</v>
      </c>
      <c r="G63" s="77">
        <f t="shared" si="4"/>
        <v>3594868.46</v>
      </c>
    </row>
    <row r="64" spans="1:7" s="24" customFormat="1" x14ac:dyDescent="0.25">
      <c r="A64" s="144" t="s">
        <v>3351</v>
      </c>
      <c r="B64" s="60">
        <v>892730.28999999992</v>
      </c>
      <c r="C64" s="60">
        <v>0</v>
      </c>
      <c r="D64" s="60">
        <v>892730.28999999992</v>
      </c>
      <c r="E64" s="60">
        <v>98548.330000000016</v>
      </c>
      <c r="F64" s="60">
        <v>95548.330000000016</v>
      </c>
      <c r="G64" s="77">
        <f t="shared" si="4"/>
        <v>794181.96</v>
      </c>
    </row>
    <row r="65" spans="1:7" s="24" customFormat="1" x14ac:dyDescent="0.25">
      <c r="A65" s="144" t="s">
        <v>3352</v>
      </c>
      <c r="B65" s="60">
        <v>0</v>
      </c>
      <c r="C65" s="60">
        <v>244286969.41</v>
      </c>
      <c r="D65" s="60">
        <v>244286969.41</v>
      </c>
      <c r="E65" s="60">
        <v>0</v>
      </c>
      <c r="F65" s="60">
        <v>0</v>
      </c>
      <c r="G65" s="77">
        <f t="shared" si="4"/>
        <v>244286969.41</v>
      </c>
    </row>
    <row r="66" spans="1:7" s="24" customFormat="1" x14ac:dyDescent="0.25">
      <c r="A66" s="144" t="s">
        <v>3353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77">
        <f t="shared" si="4"/>
        <v>0</v>
      </c>
    </row>
    <row r="67" spans="1:7" s="24" customFormat="1" x14ac:dyDescent="0.25">
      <c r="A67" s="144" t="s">
        <v>3354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77">
        <f t="shared" si="4"/>
        <v>0</v>
      </c>
    </row>
    <row r="68" spans="1:7" x14ac:dyDescent="0.25">
      <c r="A68" s="76" t="s">
        <v>678</v>
      </c>
      <c r="B68" s="54"/>
      <c r="C68" s="54"/>
      <c r="D68" s="54"/>
      <c r="E68" s="54"/>
      <c r="F68" s="54"/>
      <c r="G68" s="54"/>
    </row>
    <row r="69" spans="1:7" s="24" customFormat="1" x14ac:dyDescent="0.25">
      <c r="A69" s="55" t="s">
        <v>433</v>
      </c>
      <c r="B69" s="61">
        <f>SUM(B70:GASTO_E_FIN_01)</f>
        <v>210295969.20000002</v>
      </c>
      <c r="C69" s="61">
        <f>SUM(C70:GASTO_E_FIN_02)</f>
        <v>69099428.269999996</v>
      </c>
      <c r="D69" s="61">
        <f>SUM(D70:GASTO_E_FIN_03)</f>
        <v>279395397.47000003</v>
      </c>
      <c r="E69" s="61">
        <f>SUM(E70:GASTO_E_FIN_04)</f>
        <v>36083715.519999996</v>
      </c>
      <c r="F69" s="61">
        <f>SUM(F70:GASTO_E_FIN_05)</f>
        <v>36083715.519999996</v>
      </c>
      <c r="G69" s="61">
        <f>SUM(G70:GASTO_E_FIN_06)</f>
        <v>243311681.95000002</v>
      </c>
    </row>
    <row r="70" spans="1:7" s="24" customFormat="1" x14ac:dyDescent="0.25">
      <c r="A70" s="144" t="s">
        <v>3297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>D70-E70</f>
        <v>0</v>
      </c>
    </row>
    <row r="71" spans="1:7" s="24" customFormat="1" x14ac:dyDescent="0.25">
      <c r="A71" s="144" t="s">
        <v>3298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f t="shared" ref="G71:G127" si="5">D71-E71</f>
        <v>0</v>
      </c>
    </row>
    <row r="72" spans="1:7" s="24" customFormat="1" x14ac:dyDescent="0.25">
      <c r="A72" s="144" t="s">
        <v>3299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 t="shared" si="5"/>
        <v>0</v>
      </c>
    </row>
    <row r="73" spans="1:7" s="24" customFormat="1" x14ac:dyDescent="0.25">
      <c r="A73" s="144" t="s">
        <v>3300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si="5"/>
        <v>0</v>
      </c>
    </row>
    <row r="74" spans="1:7" s="24" customFormat="1" x14ac:dyDescent="0.25">
      <c r="A74" s="144" t="s">
        <v>3301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 t="shared" si="5"/>
        <v>0</v>
      </c>
    </row>
    <row r="75" spans="1:7" s="24" customFormat="1" x14ac:dyDescent="0.25">
      <c r="A75" s="144" t="s">
        <v>3302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si="5"/>
        <v>0</v>
      </c>
    </row>
    <row r="76" spans="1:7" s="24" customFormat="1" x14ac:dyDescent="0.25">
      <c r="A76" s="144" t="s">
        <v>3303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f t="shared" si="5"/>
        <v>0</v>
      </c>
    </row>
    <row r="77" spans="1:7" s="24" customFormat="1" x14ac:dyDescent="0.25">
      <c r="A77" s="144" t="s">
        <v>3304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f t="shared" si="5"/>
        <v>0</v>
      </c>
    </row>
    <row r="78" spans="1:7" s="24" customFormat="1" x14ac:dyDescent="0.25">
      <c r="A78" s="144" t="s">
        <v>3305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f t="shared" si="5"/>
        <v>0</v>
      </c>
    </row>
    <row r="79" spans="1:7" s="24" customFormat="1" x14ac:dyDescent="0.25">
      <c r="A79" s="144" t="s">
        <v>3306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f t="shared" si="5"/>
        <v>0</v>
      </c>
    </row>
    <row r="80" spans="1:7" s="24" customFormat="1" x14ac:dyDescent="0.25">
      <c r="A80" s="144" t="s">
        <v>3307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f t="shared" ref="G80:G89" si="6">D80-E80</f>
        <v>0</v>
      </c>
    </row>
    <row r="81" spans="1:7" s="24" customFormat="1" x14ac:dyDescent="0.25">
      <c r="A81" s="144" t="s">
        <v>3308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f t="shared" si="6"/>
        <v>0</v>
      </c>
    </row>
    <row r="82" spans="1:7" s="24" customFormat="1" x14ac:dyDescent="0.25">
      <c r="A82" s="144" t="s">
        <v>3309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f t="shared" si="6"/>
        <v>0</v>
      </c>
    </row>
    <row r="83" spans="1:7" s="24" customFormat="1" x14ac:dyDescent="0.25">
      <c r="A83" s="144" t="s">
        <v>3310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f t="shared" si="6"/>
        <v>0</v>
      </c>
    </row>
    <row r="84" spans="1:7" s="24" customFormat="1" x14ac:dyDescent="0.25">
      <c r="A84" s="144" t="s">
        <v>3311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f t="shared" si="6"/>
        <v>0</v>
      </c>
    </row>
    <row r="85" spans="1:7" s="24" customFormat="1" x14ac:dyDescent="0.25">
      <c r="A85" s="144" t="s">
        <v>3312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f t="shared" si="6"/>
        <v>0</v>
      </c>
    </row>
    <row r="86" spans="1:7" s="24" customFormat="1" x14ac:dyDescent="0.25">
      <c r="A86" s="144" t="s">
        <v>3313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f t="shared" si="6"/>
        <v>0</v>
      </c>
    </row>
    <row r="87" spans="1:7" s="24" customFormat="1" x14ac:dyDescent="0.25">
      <c r="A87" s="144" t="s">
        <v>3314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f t="shared" si="6"/>
        <v>0</v>
      </c>
    </row>
    <row r="88" spans="1:7" s="24" customFormat="1" x14ac:dyDescent="0.25">
      <c r="A88" s="144" t="s">
        <v>3315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f t="shared" si="6"/>
        <v>0</v>
      </c>
    </row>
    <row r="89" spans="1:7" s="24" customFormat="1" x14ac:dyDescent="0.25">
      <c r="A89" s="144" t="s">
        <v>3316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f t="shared" si="6"/>
        <v>0</v>
      </c>
    </row>
    <row r="90" spans="1:7" s="24" customFormat="1" x14ac:dyDescent="0.25">
      <c r="A90" s="144" t="s">
        <v>3317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 t="shared" si="5"/>
        <v>0</v>
      </c>
    </row>
    <row r="91" spans="1:7" s="24" customFormat="1" x14ac:dyDescent="0.25">
      <c r="A91" s="144" t="s">
        <v>3318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si="5"/>
        <v>0</v>
      </c>
    </row>
    <row r="92" spans="1:7" s="24" customFormat="1" x14ac:dyDescent="0.25">
      <c r="A92" s="144" t="s">
        <v>3319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5"/>
        <v>0</v>
      </c>
    </row>
    <row r="93" spans="1:7" s="24" customFormat="1" x14ac:dyDescent="0.25">
      <c r="A93" s="144" t="s">
        <v>3320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5"/>
        <v>0</v>
      </c>
    </row>
    <row r="94" spans="1:7" s="24" customFormat="1" x14ac:dyDescent="0.25">
      <c r="A94" s="144" t="s">
        <v>3321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f t="shared" si="5"/>
        <v>0</v>
      </c>
    </row>
    <row r="95" spans="1:7" s="24" customFormat="1" x14ac:dyDescent="0.25">
      <c r="A95" s="144" t="s">
        <v>3322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5"/>
        <v>0</v>
      </c>
    </row>
    <row r="96" spans="1:7" s="24" customFormat="1" x14ac:dyDescent="0.25">
      <c r="A96" s="144" t="s">
        <v>3323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f t="shared" si="5"/>
        <v>0</v>
      </c>
    </row>
    <row r="97" spans="1:7" s="24" customFormat="1" x14ac:dyDescent="0.25">
      <c r="A97" s="144" t="s">
        <v>3324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f t="shared" si="5"/>
        <v>0</v>
      </c>
    </row>
    <row r="98" spans="1:7" s="24" customFormat="1" x14ac:dyDescent="0.25">
      <c r="A98" s="144" t="s">
        <v>3325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f t="shared" si="5"/>
        <v>0</v>
      </c>
    </row>
    <row r="99" spans="1:7" s="24" customFormat="1" x14ac:dyDescent="0.25">
      <c r="A99" s="144" t="s">
        <v>3326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f t="shared" si="5"/>
        <v>0</v>
      </c>
    </row>
    <row r="100" spans="1:7" s="24" customFormat="1" x14ac:dyDescent="0.25">
      <c r="A100" s="144" t="s">
        <v>3327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f t="shared" ref="G100:G109" si="7">D100-E100</f>
        <v>0</v>
      </c>
    </row>
    <row r="101" spans="1:7" s="24" customFormat="1" x14ac:dyDescent="0.25">
      <c r="A101" s="144" t="s">
        <v>3328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f t="shared" si="7"/>
        <v>0</v>
      </c>
    </row>
    <row r="102" spans="1:7" s="24" customFormat="1" x14ac:dyDescent="0.25">
      <c r="A102" s="144" t="s">
        <v>3329</v>
      </c>
      <c r="B102" s="60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f t="shared" si="7"/>
        <v>0</v>
      </c>
    </row>
    <row r="103" spans="1:7" s="24" customFormat="1" x14ac:dyDescent="0.25">
      <c r="A103" s="144" t="s">
        <v>3330</v>
      </c>
      <c r="B103" s="60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f t="shared" si="7"/>
        <v>0</v>
      </c>
    </row>
    <row r="104" spans="1:7" s="24" customFormat="1" x14ac:dyDescent="0.25">
      <c r="A104" s="144" t="s">
        <v>3331</v>
      </c>
      <c r="B104" s="60">
        <v>0</v>
      </c>
      <c r="C104" s="60">
        <v>0</v>
      </c>
      <c r="D104" s="60">
        <v>0</v>
      </c>
      <c r="E104" s="60">
        <v>0</v>
      </c>
      <c r="F104" s="60">
        <v>0</v>
      </c>
      <c r="G104" s="60">
        <f t="shared" si="7"/>
        <v>0</v>
      </c>
    </row>
    <row r="105" spans="1:7" s="24" customFormat="1" x14ac:dyDescent="0.25">
      <c r="A105" s="144" t="s">
        <v>3332</v>
      </c>
      <c r="B105" s="60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f t="shared" si="7"/>
        <v>0</v>
      </c>
    </row>
    <row r="106" spans="1:7" s="24" customFormat="1" x14ac:dyDescent="0.25">
      <c r="A106" s="144" t="s">
        <v>3333</v>
      </c>
      <c r="B106" s="60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f t="shared" si="7"/>
        <v>0</v>
      </c>
    </row>
    <row r="107" spans="1:7" s="24" customFormat="1" x14ac:dyDescent="0.25">
      <c r="A107" s="144" t="s">
        <v>3334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f t="shared" si="7"/>
        <v>0</v>
      </c>
    </row>
    <row r="108" spans="1:7" s="24" customFormat="1" x14ac:dyDescent="0.25">
      <c r="A108" s="144" t="s">
        <v>3335</v>
      </c>
      <c r="B108" s="60">
        <v>0</v>
      </c>
      <c r="C108" s="60">
        <v>0</v>
      </c>
      <c r="D108" s="60">
        <v>0</v>
      </c>
      <c r="E108" s="60">
        <v>0</v>
      </c>
      <c r="F108" s="60">
        <v>0</v>
      </c>
      <c r="G108" s="60">
        <f t="shared" si="7"/>
        <v>0</v>
      </c>
    </row>
    <row r="109" spans="1:7" s="24" customFormat="1" x14ac:dyDescent="0.25">
      <c r="A109" s="144" t="s">
        <v>3336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f t="shared" si="7"/>
        <v>0</v>
      </c>
    </row>
    <row r="110" spans="1:7" s="24" customFormat="1" x14ac:dyDescent="0.25">
      <c r="A110" s="144" t="s">
        <v>3337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f t="shared" si="5"/>
        <v>0</v>
      </c>
    </row>
    <row r="111" spans="1:7" s="24" customFormat="1" x14ac:dyDescent="0.25">
      <c r="A111" s="144" t="s">
        <v>3338</v>
      </c>
      <c r="B111" s="60">
        <v>210295969.20000002</v>
      </c>
      <c r="C111" s="60">
        <v>759085.59999999404</v>
      </c>
      <c r="D111" s="60">
        <v>211055054.80000001</v>
      </c>
      <c r="E111" s="60">
        <v>764143</v>
      </c>
      <c r="F111" s="60">
        <v>764143</v>
      </c>
      <c r="G111" s="60">
        <f t="shared" si="5"/>
        <v>210290911.80000001</v>
      </c>
    </row>
    <row r="112" spans="1:7" s="24" customFormat="1" x14ac:dyDescent="0.25">
      <c r="A112" s="144" t="s">
        <v>3339</v>
      </c>
      <c r="B112" s="60">
        <v>0</v>
      </c>
      <c r="C112" s="60">
        <v>0</v>
      </c>
      <c r="D112" s="60">
        <v>0</v>
      </c>
      <c r="E112" s="60">
        <v>0</v>
      </c>
      <c r="F112" s="60">
        <v>0</v>
      </c>
      <c r="G112" s="60">
        <f t="shared" si="5"/>
        <v>0</v>
      </c>
    </row>
    <row r="113" spans="1:7" s="24" customFormat="1" x14ac:dyDescent="0.25">
      <c r="A113" s="144" t="s">
        <v>3340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f t="shared" si="5"/>
        <v>0</v>
      </c>
    </row>
    <row r="114" spans="1:7" s="24" customFormat="1" x14ac:dyDescent="0.25">
      <c r="A114" s="144" t="s">
        <v>3341</v>
      </c>
      <c r="B114" s="60">
        <v>0</v>
      </c>
      <c r="C114" s="60">
        <v>0</v>
      </c>
      <c r="D114" s="60">
        <v>0</v>
      </c>
      <c r="E114" s="60">
        <v>0</v>
      </c>
      <c r="F114" s="60">
        <v>0</v>
      </c>
      <c r="G114" s="60">
        <f t="shared" si="5"/>
        <v>0</v>
      </c>
    </row>
    <row r="115" spans="1:7" s="24" customFormat="1" x14ac:dyDescent="0.25">
      <c r="A115" s="144" t="s">
        <v>3342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f t="shared" si="5"/>
        <v>0</v>
      </c>
    </row>
    <row r="116" spans="1:7" s="24" customFormat="1" x14ac:dyDescent="0.25">
      <c r="A116" s="144" t="s">
        <v>3343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f t="shared" si="5"/>
        <v>0</v>
      </c>
    </row>
    <row r="117" spans="1:7" s="24" customFormat="1" x14ac:dyDescent="0.25">
      <c r="A117" s="144" t="s">
        <v>3344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f t="shared" si="5"/>
        <v>0</v>
      </c>
    </row>
    <row r="118" spans="1:7" s="24" customFormat="1" x14ac:dyDescent="0.25">
      <c r="A118" s="144" t="s">
        <v>3345</v>
      </c>
      <c r="B118" s="60">
        <v>0</v>
      </c>
      <c r="C118" s="60">
        <v>0</v>
      </c>
      <c r="D118" s="60">
        <v>0</v>
      </c>
      <c r="E118" s="60">
        <v>0</v>
      </c>
      <c r="F118" s="60">
        <v>0</v>
      </c>
      <c r="G118" s="60">
        <f t="shared" ref="G118:G122" si="8">D118-E118</f>
        <v>0</v>
      </c>
    </row>
    <row r="119" spans="1:7" s="24" customFormat="1" x14ac:dyDescent="0.25">
      <c r="A119" s="144" t="s">
        <v>3346</v>
      </c>
      <c r="B119" s="60">
        <v>0</v>
      </c>
      <c r="C119" s="60">
        <v>0</v>
      </c>
      <c r="D119" s="60">
        <v>0</v>
      </c>
      <c r="E119" s="60">
        <v>0</v>
      </c>
      <c r="F119" s="60">
        <v>0</v>
      </c>
      <c r="G119" s="60">
        <f t="shared" si="8"/>
        <v>0</v>
      </c>
    </row>
    <row r="120" spans="1:7" s="24" customFormat="1" x14ac:dyDescent="0.25">
      <c r="A120" s="144" t="s">
        <v>3347</v>
      </c>
      <c r="B120" s="60">
        <v>0</v>
      </c>
      <c r="C120" s="60">
        <v>0</v>
      </c>
      <c r="D120" s="60">
        <v>0</v>
      </c>
      <c r="E120" s="60">
        <v>0</v>
      </c>
      <c r="F120" s="60">
        <v>0</v>
      </c>
      <c r="G120" s="60">
        <f t="shared" si="8"/>
        <v>0</v>
      </c>
    </row>
    <row r="121" spans="1:7" s="24" customFormat="1" x14ac:dyDescent="0.25">
      <c r="A121" s="144" t="s">
        <v>3348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f t="shared" si="8"/>
        <v>0</v>
      </c>
    </row>
    <row r="122" spans="1:7" s="24" customFormat="1" x14ac:dyDescent="0.25">
      <c r="A122" s="144" t="s">
        <v>3349</v>
      </c>
      <c r="B122" s="60">
        <v>0</v>
      </c>
      <c r="C122" s="60">
        <v>0</v>
      </c>
      <c r="D122" s="60">
        <v>0</v>
      </c>
      <c r="E122" s="60">
        <v>0</v>
      </c>
      <c r="F122" s="60">
        <v>0</v>
      </c>
      <c r="G122" s="60">
        <f t="shared" si="8"/>
        <v>0</v>
      </c>
    </row>
    <row r="123" spans="1:7" s="24" customFormat="1" x14ac:dyDescent="0.25">
      <c r="A123" s="144" t="s">
        <v>3350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60">
        <f t="shared" si="5"/>
        <v>0</v>
      </c>
    </row>
    <row r="124" spans="1:7" s="24" customFormat="1" x14ac:dyDescent="0.25">
      <c r="A124" s="144" t="s">
        <v>3351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60">
        <f t="shared" si="5"/>
        <v>0</v>
      </c>
    </row>
    <row r="125" spans="1:7" s="24" customFormat="1" x14ac:dyDescent="0.25">
      <c r="A125" s="144" t="s">
        <v>3352</v>
      </c>
      <c r="B125" s="60">
        <v>0</v>
      </c>
      <c r="C125" s="60">
        <v>2981632.5100000002</v>
      </c>
      <c r="D125" s="60">
        <v>2981632.5100000002</v>
      </c>
      <c r="E125" s="60">
        <v>1886004.19</v>
      </c>
      <c r="F125" s="60">
        <v>1886004.19</v>
      </c>
      <c r="G125" s="60">
        <f t="shared" si="5"/>
        <v>1095628.3200000003</v>
      </c>
    </row>
    <row r="126" spans="1:7" s="24" customFormat="1" x14ac:dyDescent="0.25">
      <c r="A126" s="144" t="s">
        <v>3353</v>
      </c>
      <c r="B126" s="60">
        <v>0</v>
      </c>
      <c r="C126" s="60">
        <v>51994928.990000002</v>
      </c>
      <c r="D126" s="60">
        <v>51994928.990000002</v>
      </c>
      <c r="E126" s="60">
        <v>23134595.959999993</v>
      </c>
      <c r="F126" s="60">
        <v>23134595.959999993</v>
      </c>
      <c r="G126" s="60">
        <f t="shared" si="5"/>
        <v>28860333.030000009</v>
      </c>
    </row>
    <row r="127" spans="1:7" s="24" customFormat="1" x14ac:dyDescent="0.25">
      <c r="A127" s="144" t="s">
        <v>3354</v>
      </c>
      <c r="B127" s="60">
        <v>0</v>
      </c>
      <c r="C127" s="60">
        <v>13363781.170000002</v>
      </c>
      <c r="D127" s="60">
        <v>13363781.170000002</v>
      </c>
      <c r="E127" s="60">
        <v>10298972.369999999</v>
      </c>
      <c r="F127" s="60">
        <v>10298972.369999999</v>
      </c>
      <c r="G127" s="60">
        <f t="shared" si="5"/>
        <v>3064808.8000000026</v>
      </c>
    </row>
    <row r="128" spans="1:7" x14ac:dyDescent="0.25">
      <c r="A128" s="76" t="s">
        <v>678</v>
      </c>
      <c r="B128" s="54"/>
      <c r="C128" s="54"/>
      <c r="D128" s="54"/>
      <c r="E128" s="54"/>
      <c r="F128" s="54"/>
      <c r="G128" s="54"/>
    </row>
    <row r="129" spans="1:7" x14ac:dyDescent="0.25">
      <c r="A129" s="55" t="s">
        <v>360</v>
      </c>
      <c r="B129" s="61">
        <f>GASTO_NE_T1+GASTO_E_T1</f>
        <v>586603556.63</v>
      </c>
      <c r="C129" s="61">
        <f>GASTO_NE_T2+GASTO_E_T2</f>
        <v>313386397.68000001</v>
      </c>
      <c r="D129" s="61">
        <f>GASTO_NE_T3+GASTO_E_T3</f>
        <v>899989954.30999994</v>
      </c>
      <c r="E129" s="61">
        <f>GASTO_NE_T4+GASTO_E_T4</f>
        <v>99686040.160000011</v>
      </c>
      <c r="F129" s="61">
        <f>GASTO_NE_T5+GASTO_E_T5</f>
        <v>99288851.13000001</v>
      </c>
      <c r="G129" s="61">
        <f>GASTO_NE_T6+GASTO_E_T6</f>
        <v>800303914.14999986</v>
      </c>
    </row>
    <row r="130" spans="1:7" x14ac:dyDescent="0.25">
      <c r="A130" s="58"/>
      <c r="B130" s="65"/>
      <c r="C130" s="65"/>
      <c r="D130" s="65"/>
      <c r="E130" s="65"/>
      <c r="F130" s="65"/>
      <c r="G130" s="78"/>
    </row>
    <row r="131" spans="1:7" hidden="1" x14ac:dyDescent="0.25">
      <c r="A1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29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376307587.43000001</v>
      </c>
      <c r="Q2" s="18">
        <f>GASTO_NE_T2</f>
        <v>244286969.41</v>
      </c>
      <c r="R2" s="18">
        <f>GASTO_NE_T3</f>
        <v>620594556.83999991</v>
      </c>
      <c r="S2" s="18">
        <f>GASTO_NE_T4</f>
        <v>63602324.640000015</v>
      </c>
      <c r="T2" s="18">
        <f>GASTO_NE_T5</f>
        <v>63205135.610000014</v>
      </c>
      <c r="U2" s="18">
        <f>GASTO_NE_T6</f>
        <v>556992232.19999981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210295969.20000002</v>
      </c>
      <c r="Q3" s="18">
        <f>GASTO_E_T2</f>
        <v>69099428.269999996</v>
      </c>
      <c r="R3" s="18">
        <f>GASTO_E_T3</f>
        <v>279395397.47000003</v>
      </c>
      <c r="S3" s="18">
        <f>GASTO_E_T4</f>
        <v>36083715.519999996</v>
      </c>
      <c r="T3" s="18">
        <f>GASTO_E_T5</f>
        <v>36083715.519999996</v>
      </c>
      <c r="U3" s="18">
        <f>GASTO_E_T6</f>
        <v>243311681.95000002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586603556.63</v>
      </c>
      <c r="Q4" s="18">
        <f>TOTAL_E_T2</f>
        <v>313386397.68000001</v>
      </c>
      <c r="R4" s="18">
        <f>TOTAL_E_T3</f>
        <v>899989954.30999994</v>
      </c>
      <c r="S4" s="18">
        <f>TOTAL_E_T4</f>
        <v>99686040.160000011</v>
      </c>
      <c r="T4" s="18">
        <f>TOTAL_E_T5</f>
        <v>99288851.13000001</v>
      </c>
      <c r="U4" s="18">
        <f>TOTAL_E_T6</f>
        <v>800303914.14999986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topLeftCell="B2" workbookViewId="0">
      <selection activeCell="E26" sqref="E26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3281</v>
      </c>
      <c r="B1" s="179"/>
      <c r="C1" s="179"/>
      <c r="D1" s="179"/>
      <c r="E1" s="179"/>
      <c r="F1" s="179"/>
      <c r="G1" s="179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marzo de 2019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3278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x14ac:dyDescent="0.25">
      <c r="A9" s="52" t="s">
        <v>363</v>
      </c>
      <c r="B9" s="70">
        <f>SUM(B10,B19,B27,B37)</f>
        <v>586603556.62999988</v>
      </c>
      <c r="C9" s="70">
        <f t="shared" ref="C9:G9" si="0">SUM(C10,C19,C27,C37)</f>
        <v>313386397.68000019</v>
      </c>
      <c r="D9" s="70">
        <f t="shared" si="0"/>
        <v>899989954.31000006</v>
      </c>
      <c r="E9" s="70">
        <f t="shared" si="0"/>
        <v>99686040.160000011</v>
      </c>
      <c r="F9" s="70">
        <f t="shared" si="0"/>
        <v>99288851.13000001</v>
      </c>
      <c r="G9" s="70">
        <f t="shared" si="0"/>
        <v>800303914.1500001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2">
        <f>D11-E11</f>
        <v>0</v>
      </c>
    </row>
    <row r="12" spans="1:7" x14ac:dyDescent="0.25">
      <c r="A12" s="63" t="s">
        <v>366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2">
        <f t="shared" si="2"/>
        <v>0</v>
      </c>
    </row>
    <row r="14" spans="1:7" x14ac:dyDescent="0.25">
      <c r="A14" s="63" t="s">
        <v>368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2">
        <f t="shared" si="2"/>
        <v>0</v>
      </c>
    </row>
    <row r="15" spans="1:7" x14ac:dyDescent="0.25">
      <c r="A15" s="63" t="s">
        <v>369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2">
        <f t="shared" si="2"/>
        <v>0</v>
      </c>
    </row>
    <row r="16" spans="1:7" x14ac:dyDescent="0.25">
      <c r="A16" s="63" t="s">
        <v>370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2">
        <f t="shared" si="2"/>
        <v>0</v>
      </c>
    </row>
    <row r="17" spans="1:7" x14ac:dyDescent="0.25">
      <c r="A17" s="63" t="s">
        <v>371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2">
        <f t="shared" si="2"/>
        <v>0</v>
      </c>
    </row>
    <row r="18" spans="1:7" x14ac:dyDescent="0.25">
      <c r="A18" s="63" t="s">
        <v>372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586603556.62999988</v>
      </c>
      <c r="C19" s="71">
        <f t="shared" ref="C19:F19" si="3">SUM(C20:C26)</f>
        <v>313386397.68000019</v>
      </c>
      <c r="D19" s="71">
        <f t="shared" si="3"/>
        <v>899989954.31000006</v>
      </c>
      <c r="E19" s="71">
        <f t="shared" si="3"/>
        <v>99686040.160000011</v>
      </c>
      <c r="F19" s="71">
        <f t="shared" si="3"/>
        <v>99288851.13000001</v>
      </c>
      <c r="G19" s="71">
        <f>SUM(G20:G26)</f>
        <v>800303914.1500001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586603556.62999988</v>
      </c>
      <c r="C21" s="71">
        <v>313386397.68000019</v>
      </c>
      <c r="D21" s="71">
        <v>899989954.31000006</v>
      </c>
      <c r="E21" s="71">
        <v>99686040.160000011</v>
      </c>
      <c r="F21" s="71">
        <v>99288851.13000001</v>
      </c>
      <c r="G21" s="72">
        <f t="shared" ref="G21:G26" si="4">D21-E21</f>
        <v>800303914.1500001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2">
        <f>D45-E45</f>
        <v>0</v>
      </c>
    </row>
    <row r="46" spans="1:7" x14ac:dyDescent="0.25">
      <c r="A46" s="69" t="s">
        <v>366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2">
        <f t="shared" si="11"/>
        <v>0</v>
      </c>
    </row>
    <row r="48" spans="1:7" x14ac:dyDescent="0.25">
      <c r="A48" s="69" t="s">
        <v>368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2">
        <f t="shared" si="11"/>
        <v>0</v>
      </c>
    </row>
    <row r="49" spans="1:7" x14ac:dyDescent="0.25">
      <c r="A49" s="69" t="s">
        <v>369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2">
        <f t="shared" si="11"/>
        <v>0</v>
      </c>
    </row>
    <row r="50" spans="1:7" x14ac:dyDescent="0.25">
      <c r="A50" s="69" t="s">
        <v>370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2">
        <f t="shared" si="11"/>
        <v>0</v>
      </c>
    </row>
    <row r="51" spans="1:7" x14ac:dyDescent="0.25">
      <c r="A51" s="69" t="s">
        <v>371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2">
        <f t="shared" si="11"/>
        <v>0</v>
      </c>
    </row>
    <row r="52" spans="1:7" x14ac:dyDescent="0.25">
      <c r="A52" s="69" t="s">
        <v>372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3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ht="30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586603556.62999988</v>
      </c>
      <c r="C77" s="73">
        <f t="shared" ref="C77:F77" si="18">C43+C9</f>
        <v>313386397.68000019</v>
      </c>
      <c r="D77" s="73">
        <f t="shared" si="18"/>
        <v>899989954.31000006</v>
      </c>
      <c r="E77" s="73">
        <f t="shared" si="18"/>
        <v>99686040.160000011</v>
      </c>
      <c r="F77" s="73">
        <f t="shared" si="18"/>
        <v>99288851.13000001</v>
      </c>
      <c r="G77" s="73">
        <f>G43+G9</f>
        <v>800303914.1500001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586603556.62999988</v>
      </c>
      <c r="Q2" s="18">
        <f>'Formato 6 c)'!C9</f>
        <v>313386397.68000019</v>
      </c>
      <c r="R2" s="18">
        <f>'Formato 6 c)'!D9</f>
        <v>899989954.31000006</v>
      </c>
      <c r="S2" s="18">
        <f>'Formato 6 c)'!E9</f>
        <v>99686040.160000011</v>
      </c>
      <c r="T2" s="18">
        <f>'Formato 6 c)'!F9</f>
        <v>99288851.13000001</v>
      </c>
      <c r="U2" s="18">
        <f>'Formato 6 c)'!G9</f>
        <v>800303914.1500001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586603556.62999988</v>
      </c>
      <c r="Q12" s="18">
        <f>'Formato 6 c)'!C19</f>
        <v>313386397.68000019</v>
      </c>
      <c r="R12" s="18">
        <f>'Formato 6 c)'!D19</f>
        <v>899989954.31000006</v>
      </c>
      <c r="S12" s="18">
        <f>'Formato 6 c)'!E19</f>
        <v>99686040.160000011</v>
      </c>
      <c r="T12" s="18">
        <f>'Formato 6 c)'!F19</f>
        <v>99288851.13000001</v>
      </c>
      <c r="U12" s="18">
        <f>'Formato 6 c)'!G19</f>
        <v>800303914.1500001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586603556.62999988</v>
      </c>
      <c r="Q14" s="18">
        <f>'Formato 6 c)'!C21</f>
        <v>313386397.68000019</v>
      </c>
      <c r="R14" s="18">
        <f>'Formato 6 c)'!D21</f>
        <v>899989954.31000006</v>
      </c>
      <c r="S14" s="18">
        <f>'Formato 6 c)'!E21</f>
        <v>99686040.160000011</v>
      </c>
      <c r="T14" s="18">
        <f>'Formato 6 c)'!F21</f>
        <v>99288851.13000001</v>
      </c>
      <c r="U14" s="18">
        <f>'Formato 6 c)'!G21</f>
        <v>800303914.1500001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586603556.62999988</v>
      </c>
      <c r="Q68" s="18">
        <f>'Formato 6 c)'!C77</f>
        <v>313386397.68000019</v>
      </c>
      <c r="R68" s="18">
        <f>'Formato 6 c)'!D77</f>
        <v>899989954.31000006</v>
      </c>
      <c r="S68" s="18">
        <f>'Formato 6 c)'!E77</f>
        <v>99686040.160000011</v>
      </c>
      <c r="T68" s="18">
        <f>'Formato 6 c)'!F77</f>
        <v>99288851.13000001</v>
      </c>
      <c r="U68" s="18">
        <f>'Formato 6 c)'!G77</f>
        <v>800303914.1500001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2019</v>
      </c>
    </row>
    <row r="14" spans="2:3" x14ac:dyDescent="0.25">
      <c r="B14" t="s">
        <v>785</v>
      </c>
      <c r="C14" s="24" t="s">
        <v>3294</v>
      </c>
    </row>
    <row r="15" spans="2:3" x14ac:dyDescent="0.25">
      <c r="C15" s="24">
        <v>1</v>
      </c>
    </row>
    <row r="16" spans="2:3" x14ac:dyDescent="0.25">
      <c r="C16" s="24" t="s">
        <v>3295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2019 (m = g – l)</v>
      </c>
    </row>
    <row r="20" spans="4:9" ht="60" x14ac:dyDescent="0.2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x14ac:dyDescent="0.2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topLeftCell="B3" workbookViewId="0">
      <selection activeCell="C26" sqref="C26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2" t="s">
        <v>3279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x14ac:dyDescent="0.25">
      <c r="A5" s="159" t="str">
        <f>TRIMESTRE</f>
        <v>Del 1 de enero al 30 de marzo de 2019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x14ac:dyDescent="0.25">
      <c r="A9" s="52" t="s">
        <v>400</v>
      </c>
      <c r="B9" s="66">
        <f>SUM(B10,B11,B12,B15,B16,B19)</f>
        <v>114851276.38000003</v>
      </c>
      <c r="C9" s="66">
        <f t="shared" ref="C9:F9" si="0">SUM(C10,C11,C12,C15,C16,C19)</f>
        <v>0</v>
      </c>
      <c r="D9" s="66">
        <f t="shared" si="0"/>
        <v>114851276.38000003</v>
      </c>
      <c r="E9" s="66">
        <f t="shared" si="0"/>
        <v>109213604.25999992</v>
      </c>
      <c r="F9" s="66">
        <f t="shared" si="0"/>
        <v>109213604.25999992</v>
      </c>
      <c r="G9" s="66">
        <f>SUM(G10,G11,G12,G15,G16,G19)</f>
        <v>5637672.1200001091</v>
      </c>
    </row>
    <row r="10" spans="1:7" x14ac:dyDescent="0.25">
      <c r="A10" s="53" t="s">
        <v>401</v>
      </c>
      <c r="B10" s="67">
        <v>114851276.38000003</v>
      </c>
      <c r="C10" s="67">
        <v>0</v>
      </c>
      <c r="D10" s="67">
        <v>114851276.38000003</v>
      </c>
      <c r="E10" s="67">
        <v>109213604.25999992</v>
      </c>
      <c r="F10" s="67">
        <v>109213604.25999992</v>
      </c>
      <c r="G10" s="67">
        <f>D10-E10</f>
        <v>5637672.1200001091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114851276.38000003</v>
      </c>
      <c r="C33" s="66">
        <f t="shared" ref="C33:G33" si="9">C21+C9</f>
        <v>0</v>
      </c>
      <c r="D33" s="66">
        <f t="shared" si="9"/>
        <v>114851276.38000003</v>
      </c>
      <c r="E33" s="66">
        <f t="shared" si="9"/>
        <v>109213604.25999992</v>
      </c>
      <c r="F33" s="66">
        <f t="shared" si="9"/>
        <v>109213604.25999992</v>
      </c>
      <c r="G33" s="66">
        <f t="shared" si="9"/>
        <v>5637672.1200001091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114851276.38000003</v>
      </c>
      <c r="Q2" s="18">
        <f>'Formato 6 d)'!C9</f>
        <v>0</v>
      </c>
      <c r="R2" s="18">
        <f>'Formato 6 d)'!D9</f>
        <v>114851276.38000003</v>
      </c>
      <c r="S2" s="18">
        <f>'Formato 6 d)'!E9</f>
        <v>109213604.25999992</v>
      </c>
      <c r="T2" s="18">
        <f>'Formato 6 d)'!F9</f>
        <v>109213604.25999992</v>
      </c>
      <c r="U2" s="18">
        <f>'Formato 6 d)'!G9</f>
        <v>5637672.1200001091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114851276.38000003</v>
      </c>
      <c r="Q3" s="18">
        <f>'Formato 6 d)'!C10</f>
        <v>0</v>
      </c>
      <c r="R3" s="18">
        <f>'Formato 6 d)'!D10</f>
        <v>114851276.38000003</v>
      </c>
      <c r="S3" s="18">
        <f>'Formato 6 d)'!E10</f>
        <v>109213604.25999992</v>
      </c>
      <c r="T3" s="18">
        <f>'Formato 6 d)'!F10</f>
        <v>109213604.25999992</v>
      </c>
      <c r="U3" s="18">
        <f>'Formato 6 d)'!G10</f>
        <v>5637672.1200001091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114851276.38000003</v>
      </c>
      <c r="Q24" s="18">
        <f>'Formato 6 d)'!C33</f>
        <v>0</v>
      </c>
      <c r="R24" s="18">
        <f>'Formato 6 d)'!D33</f>
        <v>114851276.38000003</v>
      </c>
      <c r="S24" s="18">
        <f>'Formato 6 d)'!E33</f>
        <v>109213604.25999992</v>
      </c>
      <c r="T24" s="18">
        <f>'Formato 6 d)'!F33</f>
        <v>109213604.25999992</v>
      </c>
      <c r="U24" s="18">
        <f>'Formato 6 d)'!G33</f>
        <v>5637672.1200001091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topLeftCell="A4" workbookViewId="0">
      <selection activeCell="D26" sqref="D26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1" t="s">
        <v>413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414</v>
      </c>
      <c r="B3" s="157"/>
      <c r="C3" s="157"/>
      <c r="D3" s="157"/>
      <c r="E3" s="157"/>
      <c r="F3" s="157"/>
      <c r="G3" s="158"/>
    </row>
    <row r="4" spans="1:7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3280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494891900.61000001</v>
      </c>
      <c r="C8" s="59">
        <f t="shared" ref="C8:G8" si="0">SUM(C9:C20)</f>
        <v>544381090.62</v>
      </c>
      <c r="D8" s="59">
        <f t="shared" si="0"/>
        <v>598819199.65999997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2413643.54</v>
      </c>
      <c r="C11" s="60">
        <v>2655007.89</v>
      </c>
      <c r="D11" s="60">
        <v>2920508.67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29850514.329999998</v>
      </c>
      <c r="C13" s="60">
        <v>32835565.760000002</v>
      </c>
      <c r="D13" s="60">
        <v>36119122.329999998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462627742.74000001</v>
      </c>
      <c r="C15" s="60">
        <v>508890516.97000003</v>
      </c>
      <c r="D15" s="60">
        <v>559779568.65999997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150372011.69999999</v>
      </c>
      <c r="C22" s="61">
        <f t="shared" ref="C22:G22" si="1">SUM(C23:C27)</f>
        <v>165409212.87</v>
      </c>
      <c r="D22" s="61">
        <f t="shared" si="1"/>
        <v>181950134.15000001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150372011.69999999</v>
      </c>
      <c r="C26" s="60">
        <v>165409212.87</v>
      </c>
      <c r="D26" s="60">
        <v>181950134.15000001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645263912.30999994</v>
      </c>
      <c r="C32" s="61">
        <f t="shared" ref="C32:F32" si="3">C29+C22+C8</f>
        <v>709790303.49000001</v>
      </c>
      <c r="D32" s="61">
        <f t="shared" si="3"/>
        <v>780769333.80999994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494891900.61000001</v>
      </c>
      <c r="Q2" s="18">
        <f>'Formato 7 a)'!C8</f>
        <v>544381090.62</v>
      </c>
      <c r="R2" s="18">
        <f>'Formato 7 a)'!D8</f>
        <v>598819199.65999997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2413643.54</v>
      </c>
      <c r="Q5" s="18">
        <f>'Formato 7 a)'!C11</f>
        <v>2655007.89</v>
      </c>
      <c r="R5" s="18">
        <f>'Formato 7 a)'!D11</f>
        <v>2920508.67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29850514.329999998</v>
      </c>
      <c r="Q7" s="18">
        <f>'Formato 7 a)'!C13</f>
        <v>32835565.760000002</v>
      </c>
      <c r="R7" s="18">
        <f>'Formato 7 a)'!D13</f>
        <v>36119122.329999998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462627742.74000001</v>
      </c>
      <c r="Q9" s="18">
        <f>'Formato 7 a)'!C15</f>
        <v>508890516.97000003</v>
      </c>
      <c r="R9" s="18">
        <f>'Formato 7 a)'!D15</f>
        <v>559779568.65999997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150372011.69999999</v>
      </c>
      <c r="Q15" s="18">
        <f>'Formato 7 a)'!C22</f>
        <v>165409212.87</v>
      </c>
      <c r="R15" s="18">
        <f>'Formato 7 a)'!D22</f>
        <v>181950134.15000001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150372011.69999999</v>
      </c>
      <c r="Q19" s="18">
        <f>'Formato 7 a)'!C26</f>
        <v>165409212.87</v>
      </c>
      <c r="R19" s="18">
        <f>'Formato 7 a)'!D26</f>
        <v>181950134.15000001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645263912.30999994</v>
      </c>
      <c r="Q23" s="18">
        <f>'Formato 7 a)'!C32</f>
        <v>709790303.49000001</v>
      </c>
      <c r="R23" s="18">
        <f>'Formato 7 a)'!D32</f>
        <v>780769333.80999994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90" zoomScaleNormal="90" zoomScalePageLayoutView="90" workbookViewId="0">
      <selection activeCell="B21" sqref="B2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1" t="s">
        <v>443</v>
      </c>
      <c r="B1" s="171"/>
      <c r="C1" s="171"/>
      <c r="D1" s="171"/>
      <c r="E1" s="171"/>
      <c r="F1" s="171"/>
      <c r="G1" s="171"/>
    </row>
    <row r="2" spans="1:7" customFormat="1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customFormat="1" x14ac:dyDescent="0.25">
      <c r="A3" s="156" t="s">
        <v>444</v>
      </c>
      <c r="B3" s="157"/>
      <c r="C3" s="157"/>
      <c r="D3" s="157"/>
      <c r="E3" s="157"/>
      <c r="F3" s="157"/>
      <c r="G3" s="158"/>
    </row>
    <row r="4" spans="1:7" customFormat="1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customFormat="1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3134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445</v>
      </c>
      <c r="B8" s="59">
        <f>SUM(B9:B17)</f>
        <v>413938346.1730001</v>
      </c>
      <c r="C8" s="59">
        <f t="shared" ref="C8:G8" si="0">SUM(C9:C17)</f>
        <v>455332180.79030013</v>
      </c>
      <c r="D8" s="59">
        <f t="shared" si="0"/>
        <v>500865398.86933017</v>
      </c>
      <c r="E8" s="59">
        <f t="shared" si="0"/>
        <v>550951938.75626326</v>
      </c>
      <c r="F8" s="59">
        <f t="shared" si="0"/>
        <v>606047132.63188958</v>
      </c>
      <c r="G8" s="59">
        <f t="shared" si="0"/>
        <v>624228546.61084628</v>
      </c>
    </row>
    <row r="9" spans="1:7" x14ac:dyDescent="0.25">
      <c r="A9" s="53" t="s">
        <v>446</v>
      </c>
      <c r="B9" s="60">
        <v>118296814.6714</v>
      </c>
      <c r="C9" s="60">
        <v>121845719.111542</v>
      </c>
      <c r="D9" s="60">
        <v>125501090.68488826</v>
      </c>
      <c r="E9" s="60">
        <v>129266123.40543491</v>
      </c>
      <c r="F9" s="60">
        <v>133144107.10759796</v>
      </c>
      <c r="G9" s="60">
        <f>F9*1.03</f>
        <v>137138430.3208259</v>
      </c>
    </row>
    <row r="10" spans="1:7" x14ac:dyDescent="0.25">
      <c r="A10" s="53" t="s">
        <v>447</v>
      </c>
      <c r="B10" s="60">
        <v>99376484.452199966</v>
      </c>
      <c r="C10" s="60">
        <v>102357778.98576596</v>
      </c>
      <c r="D10" s="60">
        <v>105428512.35533895</v>
      </c>
      <c r="E10" s="60">
        <v>108591367.72599912</v>
      </c>
      <c r="F10" s="60">
        <v>111849108.75777909</v>
      </c>
      <c r="G10" s="60">
        <f t="shared" ref="G10:G15" si="1">F10*1.03</f>
        <v>115204582.02051246</v>
      </c>
    </row>
    <row r="11" spans="1:7" x14ac:dyDescent="0.25">
      <c r="A11" s="53" t="s">
        <v>448</v>
      </c>
      <c r="B11" s="60">
        <v>139506562.34230003</v>
      </c>
      <c r="C11" s="60">
        <v>143691759.21256903</v>
      </c>
      <c r="D11" s="60">
        <v>148002511.98894611</v>
      </c>
      <c r="E11" s="60">
        <v>152442587.34861448</v>
      </c>
      <c r="F11" s="60">
        <v>157015864.96907291</v>
      </c>
      <c r="G11" s="60">
        <f t="shared" si="1"/>
        <v>161726340.91814509</v>
      </c>
    </row>
    <row r="12" spans="1:7" x14ac:dyDescent="0.25">
      <c r="A12" s="53" t="s">
        <v>449</v>
      </c>
      <c r="B12" s="60">
        <v>2445681.3679000004</v>
      </c>
      <c r="C12" s="60">
        <v>2519051.8089370006</v>
      </c>
      <c r="D12" s="60">
        <v>2594623.3632051107</v>
      </c>
      <c r="E12" s="60">
        <v>2672462.0641012639</v>
      </c>
      <c r="F12" s="60">
        <v>2752635.9260243019</v>
      </c>
      <c r="G12" s="60">
        <f t="shared" si="1"/>
        <v>2835215.0038050311</v>
      </c>
    </row>
    <row r="13" spans="1:7" x14ac:dyDescent="0.25">
      <c r="A13" s="53" t="s">
        <v>450</v>
      </c>
      <c r="B13" s="60">
        <v>27971272.219099998</v>
      </c>
      <c r="C13" s="60">
        <v>28810410.385672998</v>
      </c>
      <c r="D13" s="60">
        <v>29674722.697243188</v>
      </c>
      <c r="E13" s="60">
        <v>30564964.378160484</v>
      </c>
      <c r="F13" s="60">
        <v>31481913.309505299</v>
      </c>
      <c r="G13" s="60">
        <f t="shared" si="1"/>
        <v>32426370.708790459</v>
      </c>
    </row>
    <row r="14" spans="1:7" x14ac:dyDescent="0.25">
      <c r="A14" s="53" t="s">
        <v>451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452</v>
      </c>
      <c r="B15" s="60">
        <v>26341531.120100141</v>
      </c>
      <c r="C15" s="60">
        <v>56107461.285813093</v>
      </c>
      <c r="D15" s="60">
        <v>89663937.779708505</v>
      </c>
      <c r="E15" s="60">
        <v>127414433.8339529</v>
      </c>
      <c r="F15" s="60">
        <v>169803502.56191003</v>
      </c>
      <c r="G15" s="60">
        <f t="shared" si="1"/>
        <v>174897607.63876733</v>
      </c>
    </row>
    <row r="16" spans="1:7" x14ac:dyDescent="0.25">
      <c r="A16" s="53" t="s">
        <v>453</v>
      </c>
      <c r="B16" s="60"/>
      <c r="C16" s="60"/>
      <c r="D16" s="60"/>
      <c r="E16" s="60"/>
      <c r="F16" s="60"/>
      <c r="G16" s="60"/>
    </row>
    <row r="17" spans="1:7" x14ac:dyDescent="0.25">
      <c r="A17" s="53" t="s">
        <v>454</v>
      </c>
      <c r="B17" s="60"/>
      <c r="C17" s="60"/>
      <c r="D17" s="60"/>
      <c r="E17" s="60"/>
      <c r="F17" s="60"/>
      <c r="G17" s="60"/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231325566.12</v>
      </c>
      <c r="C19" s="61">
        <f t="shared" ref="C19:G19" si="2">SUM(C20:C28)</f>
        <v>254458122.73200002</v>
      </c>
      <c r="D19" s="61">
        <f t="shared" si="2"/>
        <v>279903935.00520003</v>
      </c>
      <c r="E19" s="61">
        <f t="shared" si="2"/>
        <v>307894328.50572008</v>
      </c>
      <c r="F19" s="61">
        <f t="shared" si="2"/>
        <v>338683761.35629213</v>
      </c>
      <c r="G19" s="61">
        <f t="shared" si="2"/>
        <v>372552137.49192137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452</v>
      </c>
      <c r="B26" s="60">
        <v>231325566.12</v>
      </c>
      <c r="C26" s="60">
        <v>254458122.73200002</v>
      </c>
      <c r="D26" s="60">
        <v>279903935.00520003</v>
      </c>
      <c r="E26" s="60">
        <v>307894328.50572008</v>
      </c>
      <c r="F26" s="60">
        <v>338683761.35629213</v>
      </c>
      <c r="G26" s="60">
        <f>F26*1.1</f>
        <v>372552137.49192137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645263912.2930001</v>
      </c>
      <c r="C30" s="61">
        <f t="shared" ref="C30:G30" si="3">C8+C19</f>
        <v>709790303.52230012</v>
      </c>
      <c r="D30" s="61">
        <f t="shared" si="3"/>
        <v>780769333.8745302</v>
      </c>
      <c r="E30" s="61">
        <f t="shared" si="3"/>
        <v>858846267.26198339</v>
      </c>
      <c r="F30" s="61">
        <f t="shared" si="3"/>
        <v>944730893.98818171</v>
      </c>
      <c r="G30" s="61">
        <f t="shared" si="3"/>
        <v>996780684.10276771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413938346.1730001</v>
      </c>
      <c r="Q2" s="18">
        <f>'Formato 7 b)'!C8</f>
        <v>455332180.79030013</v>
      </c>
      <c r="R2" s="18">
        <f>'Formato 7 b)'!D8</f>
        <v>500865398.86933017</v>
      </c>
      <c r="S2" s="18">
        <f>'Formato 7 b)'!E8</f>
        <v>550951938.75626326</v>
      </c>
      <c r="T2" s="18">
        <f>'Formato 7 b)'!F8</f>
        <v>606047132.63188958</v>
      </c>
      <c r="U2" s="18">
        <f>'Formato 7 b)'!G8</f>
        <v>624228546.61084628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118296814.6714</v>
      </c>
      <c r="Q3" s="18">
        <f>'Formato 7 b)'!C9</f>
        <v>121845719.111542</v>
      </c>
      <c r="R3" s="18">
        <f>'Formato 7 b)'!D9</f>
        <v>125501090.68488826</v>
      </c>
      <c r="S3" s="18">
        <f>'Formato 7 b)'!E9</f>
        <v>129266123.40543491</v>
      </c>
      <c r="T3" s="18">
        <f>'Formato 7 b)'!F9</f>
        <v>133144107.10759796</v>
      </c>
      <c r="U3" s="18">
        <f>'Formato 7 b)'!G9</f>
        <v>137138430.3208259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99376484.452199966</v>
      </c>
      <c r="Q4" s="18">
        <f>'Formato 7 b)'!C10</f>
        <v>102357778.98576596</v>
      </c>
      <c r="R4" s="18">
        <f>'Formato 7 b)'!D10</f>
        <v>105428512.35533895</v>
      </c>
      <c r="S4" s="18">
        <f>'Formato 7 b)'!E10</f>
        <v>108591367.72599912</v>
      </c>
      <c r="T4" s="18">
        <f>'Formato 7 b)'!F10</f>
        <v>111849108.75777909</v>
      </c>
      <c r="U4" s="18">
        <f>'Formato 7 b)'!G10</f>
        <v>115204582.02051246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139506562.34230003</v>
      </c>
      <c r="Q5" s="18">
        <f>'Formato 7 b)'!C11</f>
        <v>143691759.21256903</v>
      </c>
      <c r="R5" s="18">
        <f>'Formato 7 b)'!D11</f>
        <v>148002511.98894611</v>
      </c>
      <c r="S5" s="18">
        <f>'Formato 7 b)'!E11</f>
        <v>152442587.34861448</v>
      </c>
      <c r="T5" s="18">
        <f>'Formato 7 b)'!F11</f>
        <v>157015864.96907291</v>
      </c>
      <c r="U5" s="18">
        <f>'Formato 7 b)'!G11</f>
        <v>161726340.91814509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2445681.3679000004</v>
      </c>
      <c r="Q6" s="18">
        <f>'Formato 7 b)'!C12</f>
        <v>2519051.8089370006</v>
      </c>
      <c r="R6" s="18">
        <f>'Formato 7 b)'!D12</f>
        <v>2594623.3632051107</v>
      </c>
      <c r="S6" s="18">
        <f>'Formato 7 b)'!E12</f>
        <v>2672462.0641012639</v>
      </c>
      <c r="T6" s="18">
        <f>'Formato 7 b)'!F12</f>
        <v>2752635.9260243019</v>
      </c>
      <c r="U6" s="18">
        <f>'Formato 7 b)'!G12</f>
        <v>2835215.0038050311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27971272.219099998</v>
      </c>
      <c r="Q7" s="18">
        <f>'Formato 7 b)'!C13</f>
        <v>28810410.385672998</v>
      </c>
      <c r="R7" s="18">
        <f>'Formato 7 b)'!D13</f>
        <v>29674722.697243188</v>
      </c>
      <c r="S7" s="18">
        <f>'Formato 7 b)'!E13</f>
        <v>30564964.378160484</v>
      </c>
      <c r="T7" s="18">
        <f>'Formato 7 b)'!F13</f>
        <v>31481913.309505299</v>
      </c>
      <c r="U7" s="18">
        <f>'Formato 7 b)'!G13</f>
        <v>32426370.708790459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26341531.120100141</v>
      </c>
      <c r="Q9" s="18">
        <f>'Formato 7 b)'!C15</f>
        <v>56107461.285813093</v>
      </c>
      <c r="R9" s="18">
        <f>'Formato 7 b)'!D15</f>
        <v>89663937.779708505</v>
      </c>
      <c r="S9" s="18">
        <f>'Formato 7 b)'!E15</f>
        <v>127414433.8339529</v>
      </c>
      <c r="T9" s="18">
        <f>'Formato 7 b)'!F15</f>
        <v>169803502.56191003</v>
      </c>
      <c r="U9" s="18">
        <f>'Formato 7 b)'!G15</f>
        <v>174897607.63876733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231325566.12</v>
      </c>
      <c r="Q12" s="18">
        <f>'Formato 7 b)'!C19</f>
        <v>254458122.73200002</v>
      </c>
      <c r="R12" s="18">
        <f>'Formato 7 b)'!D19</f>
        <v>279903935.00520003</v>
      </c>
      <c r="S12" s="18">
        <f>'Formato 7 b)'!E19</f>
        <v>307894328.50572008</v>
      </c>
      <c r="T12" s="18">
        <f>'Formato 7 b)'!F19</f>
        <v>338683761.35629213</v>
      </c>
      <c r="U12" s="18">
        <f>'Formato 7 b)'!G19</f>
        <v>372552137.49192137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231325566.12</v>
      </c>
      <c r="Q19" s="18">
        <f>'Formato 7 b)'!C26</f>
        <v>254458122.73200002</v>
      </c>
      <c r="R19" s="18">
        <f>'Formato 7 b)'!D26</f>
        <v>279903935.00520003</v>
      </c>
      <c r="S19" s="18">
        <f>'Formato 7 b)'!E26</f>
        <v>307894328.50572008</v>
      </c>
      <c r="T19" s="18">
        <f>'Formato 7 b)'!F26</f>
        <v>338683761.35629213</v>
      </c>
      <c r="U19" s="18">
        <f>'Formato 7 b)'!G26</f>
        <v>372552137.49192137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645263912.2930001</v>
      </c>
      <c r="Q22" s="18">
        <f>'Formato 7 b)'!C30</f>
        <v>709790303.52230012</v>
      </c>
      <c r="R22" s="18">
        <f>'Formato 7 b)'!D30</f>
        <v>780769333.8745302</v>
      </c>
      <c r="S22" s="18">
        <f>'Formato 7 b)'!E30</f>
        <v>858846267.26198339</v>
      </c>
      <c r="T22" s="18">
        <f>'Formato 7 b)'!F30</f>
        <v>944730893.98818171</v>
      </c>
      <c r="U22" s="18">
        <f>'Formato 7 b)'!G30</f>
        <v>996780684.10276771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zoomScale="90" zoomScaleNormal="90" zoomScalePageLayoutView="90" workbookViewId="0">
      <selection activeCell="C22" sqref="C22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458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459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3280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3286</v>
      </c>
    </row>
    <row r="7" spans="1:7" x14ac:dyDescent="0.25">
      <c r="A7" s="52" t="s">
        <v>460</v>
      </c>
      <c r="B7" s="59">
        <f>SUM(B8:B19)</f>
        <v>283207289.01999998</v>
      </c>
      <c r="C7" s="59">
        <f t="shared" ref="C7:G7" si="0">SUM(C8:C19)</f>
        <v>331977887.26999998</v>
      </c>
      <c r="D7" s="59">
        <f t="shared" si="0"/>
        <v>373817893.10000002</v>
      </c>
      <c r="E7" s="59">
        <f t="shared" si="0"/>
        <v>410576238.33999997</v>
      </c>
      <c r="F7" s="59">
        <f t="shared" si="0"/>
        <v>437042126.98281258</v>
      </c>
      <c r="G7" s="59">
        <f t="shared" si="0"/>
        <v>449901727.83315235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0</v>
      </c>
      <c r="D10" s="60">
        <v>0</v>
      </c>
      <c r="E10" s="60">
        <v>1907916.07</v>
      </c>
      <c r="F10" s="60">
        <v>0</v>
      </c>
      <c r="G10" s="60">
        <v>2194221.4074999997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123373.67</v>
      </c>
      <c r="C12" s="60">
        <v>4355.17</v>
      </c>
      <c r="D12" s="60">
        <v>117325</v>
      </c>
      <c r="E12" s="60">
        <v>1338896.3400000001</v>
      </c>
      <c r="F12" s="60">
        <v>0</v>
      </c>
      <c r="G12" s="60">
        <v>27136831.210000001</v>
      </c>
    </row>
    <row r="13" spans="1:7" x14ac:dyDescent="0.25">
      <c r="A13" s="56" t="s">
        <v>466</v>
      </c>
      <c r="B13" s="60">
        <v>87095031.349999994</v>
      </c>
      <c r="C13" s="60">
        <v>115679765.8</v>
      </c>
      <c r="D13" s="60">
        <v>157284045.69999999</v>
      </c>
      <c r="E13" s="60">
        <v>48411016.899999999</v>
      </c>
      <c r="F13" s="60">
        <v>24243910</v>
      </c>
      <c r="G13" s="60">
        <v>0</v>
      </c>
    </row>
    <row r="14" spans="1:7" x14ac:dyDescent="0.25">
      <c r="A14" s="53" t="s">
        <v>467</v>
      </c>
      <c r="B14" s="60">
        <v>195988884</v>
      </c>
      <c r="C14" s="60">
        <v>216293766.30000001</v>
      </c>
      <c r="D14" s="60">
        <v>216416522.40000001</v>
      </c>
      <c r="E14" s="60">
        <v>358918409.02999997</v>
      </c>
      <c r="F14" s="60">
        <v>412798216.98281258</v>
      </c>
      <c r="G14" s="60">
        <v>420570675.21565235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77401491.849999994</v>
      </c>
      <c r="C21" s="61">
        <f t="shared" ref="C21:G21" si="1">SUM(C22:C26)</f>
        <v>62522751.490000002</v>
      </c>
      <c r="D21" s="61">
        <f t="shared" si="1"/>
        <v>83357438.459999993</v>
      </c>
      <c r="E21" s="61">
        <f t="shared" si="1"/>
        <v>85688641.209999993</v>
      </c>
      <c r="F21" s="61">
        <f t="shared" si="1"/>
        <v>106851038.95999999</v>
      </c>
      <c r="G21" s="61">
        <f t="shared" si="1"/>
        <v>136701828.80000001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136701828.80000001</v>
      </c>
    </row>
    <row r="26" spans="1:7" x14ac:dyDescent="0.25">
      <c r="A26" s="53" t="s">
        <v>476</v>
      </c>
      <c r="B26" s="60">
        <v>77401491.849999994</v>
      </c>
      <c r="C26" s="60">
        <v>62522751.490000002</v>
      </c>
      <c r="D26" s="60">
        <v>83357438.459999993</v>
      </c>
      <c r="E26" s="60">
        <v>85688641.209999993</v>
      </c>
      <c r="F26" s="60">
        <v>106851038.95999999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360608780.87</v>
      </c>
      <c r="C31" s="61">
        <f t="shared" ref="C31:G31" si="3">C7+C21+C28</f>
        <v>394500638.75999999</v>
      </c>
      <c r="D31" s="61">
        <f t="shared" si="3"/>
        <v>457175331.56</v>
      </c>
      <c r="E31" s="61">
        <f t="shared" si="3"/>
        <v>496264879.54999995</v>
      </c>
      <c r="F31" s="61">
        <f t="shared" si="3"/>
        <v>543893165.94281256</v>
      </c>
      <c r="G31" s="61">
        <f t="shared" si="3"/>
        <v>586603556.63315237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3284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3285</v>
      </c>
      <c r="B40" s="185"/>
      <c r="C40" s="185"/>
      <c r="D40" s="185"/>
      <c r="E40" s="185"/>
      <c r="F40" s="185"/>
      <c r="G40" s="185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283207289.01999998</v>
      </c>
      <c r="Q2" s="18">
        <f>'Formato 7 c)'!C7</f>
        <v>331977887.26999998</v>
      </c>
      <c r="R2" s="18">
        <f>'Formato 7 c)'!D7</f>
        <v>373817893.10000002</v>
      </c>
      <c r="S2" s="18">
        <f>'Formato 7 c)'!E7</f>
        <v>410576238.33999997</v>
      </c>
      <c r="T2" s="18">
        <f>'Formato 7 c)'!F7</f>
        <v>437042126.98281258</v>
      </c>
      <c r="U2" s="18">
        <f>'Formato 7 c)'!G7</f>
        <v>449901727.83315235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1907916.07</v>
      </c>
      <c r="T5" s="18">
        <f>'Formato 7 c)'!F10</f>
        <v>0</v>
      </c>
      <c r="U5" s="18">
        <f>'Formato 7 c)'!G10</f>
        <v>2194221.4074999997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123373.67</v>
      </c>
      <c r="Q7" s="18">
        <f>'Formato 7 c)'!C12</f>
        <v>4355.17</v>
      </c>
      <c r="R7" s="18">
        <f>'Formato 7 c)'!D12</f>
        <v>117325</v>
      </c>
      <c r="S7" s="18">
        <f>'Formato 7 c)'!E12</f>
        <v>1338896.3400000001</v>
      </c>
      <c r="T7" s="18">
        <f>'Formato 7 c)'!F12</f>
        <v>0</v>
      </c>
      <c r="U7" s="18">
        <f>'Formato 7 c)'!G12</f>
        <v>27136831.210000001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87095031.349999994</v>
      </c>
      <c r="Q8" s="18">
        <f>'Formato 7 c)'!C13</f>
        <v>115679765.8</v>
      </c>
      <c r="R8" s="18">
        <f>'Formato 7 c)'!D13</f>
        <v>157284045.69999999</v>
      </c>
      <c r="S8" s="18">
        <f>'Formato 7 c)'!E13</f>
        <v>48411016.899999999</v>
      </c>
      <c r="T8" s="18">
        <f>'Formato 7 c)'!F13</f>
        <v>24243910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195988884</v>
      </c>
      <c r="Q9" s="18">
        <f>'Formato 7 c)'!C14</f>
        <v>216293766.30000001</v>
      </c>
      <c r="R9" s="18">
        <f>'Formato 7 c)'!D14</f>
        <v>216416522.40000001</v>
      </c>
      <c r="S9" s="18">
        <f>'Formato 7 c)'!E14</f>
        <v>358918409.02999997</v>
      </c>
      <c r="T9" s="18">
        <f>'Formato 7 c)'!F14</f>
        <v>412798216.98281258</v>
      </c>
      <c r="U9" s="18">
        <f>'Formato 7 c)'!G14</f>
        <v>420570675.21565235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77401491.849999994</v>
      </c>
      <c r="Q15" s="18">
        <f>'Formato 7 c)'!C21</f>
        <v>62522751.490000002</v>
      </c>
      <c r="R15" s="18">
        <f>'Formato 7 c)'!D21</f>
        <v>83357438.459999993</v>
      </c>
      <c r="S15" s="18">
        <f>'Formato 7 c)'!E21</f>
        <v>85688641.209999993</v>
      </c>
      <c r="T15" s="18">
        <f>'Formato 7 c)'!F21</f>
        <v>106851038.95999999</v>
      </c>
      <c r="U15" s="18">
        <f>'Formato 7 c)'!G21</f>
        <v>136701828.80000001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136701828.80000001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77401491.849999994</v>
      </c>
      <c r="Q20" s="18">
        <f>'Formato 7 c)'!C26</f>
        <v>62522751.490000002</v>
      </c>
      <c r="R20" s="18">
        <f>'Formato 7 c)'!D26</f>
        <v>83357438.459999993</v>
      </c>
      <c r="S20" s="18">
        <f>'Formato 7 c)'!E26</f>
        <v>85688641.209999993</v>
      </c>
      <c r="T20" s="18">
        <f>'Formato 7 c)'!F26</f>
        <v>106851038.95999999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360608780.87</v>
      </c>
      <c r="Q23" s="18">
        <f>'Formato 7 c)'!C31</f>
        <v>394500638.75999999</v>
      </c>
      <c r="R23" s="18">
        <f>'Formato 7 c)'!D31</f>
        <v>457175331.56</v>
      </c>
      <c r="S23" s="18">
        <f>'Formato 7 c)'!E31</f>
        <v>496264879.54999995</v>
      </c>
      <c r="T23" s="18">
        <f>'Formato 7 c)'!F31</f>
        <v>543893165.94281256</v>
      </c>
      <c r="U23" s="18">
        <f>'Formato 7 c)'!G31</f>
        <v>586603556.63315237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90" zoomScaleNormal="90" zoomScalePageLayoutView="90" workbookViewId="0">
      <selection activeCell="F7" sqref="F7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482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483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3134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3287</v>
      </c>
    </row>
    <row r="7" spans="1:7" x14ac:dyDescent="0.25">
      <c r="A7" s="52" t="s">
        <v>484</v>
      </c>
      <c r="B7" s="59">
        <f>SUM(B8:B16)</f>
        <v>256414382.78964004</v>
      </c>
      <c r="C7" s="59">
        <f t="shared" ref="C7:G7" si="0">SUM(C8:C16)</f>
        <v>240160814.0686</v>
      </c>
      <c r="D7" s="59">
        <f t="shared" si="0"/>
        <v>249991140.69999999</v>
      </c>
      <c r="E7" s="59">
        <f t="shared" si="0"/>
        <v>281480929.83240008</v>
      </c>
      <c r="F7" s="59">
        <f t="shared" si="0"/>
        <v>326159206.70920002</v>
      </c>
      <c r="G7" s="59">
        <f t="shared" si="0"/>
        <v>449901727.85999995</v>
      </c>
    </row>
    <row r="8" spans="1:7" x14ac:dyDescent="0.25">
      <c r="A8" s="53" t="s">
        <v>446</v>
      </c>
      <c r="B8" s="60">
        <v>96682727.26000002</v>
      </c>
      <c r="C8" s="60">
        <v>104681954.33</v>
      </c>
      <c r="D8" s="60">
        <v>105325635.65000001</v>
      </c>
      <c r="E8" s="60">
        <v>105209381.61000007</v>
      </c>
      <c r="F8" s="60">
        <v>109213604.25999998</v>
      </c>
      <c r="G8" s="60">
        <v>114851276.38</v>
      </c>
    </row>
    <row r="9" spans="1:7" x14ac:dyDescent="0.25">
      <c r="A9" s="53" t="s">
        <v>447</v>
      </c>
      <c r="B9" s="60">
        <v>24075558.54916</v>
      </c>
      <c r="C9" s="60">
        <v>21930754.024999999</v>
      </c>
      <c r="D9" s="60">
        <v>27487458.210000001</v>
      </c>
      <c r="E9" s="60">
        <v>40457820.490000002</v>
      </c>
      <c r="F9" s="60">
        <v>52230376.329200022</v>
      </c>
      <c r="G9" s="60">
        <v>96482023.739999995</v>
      </c>
    </row>
    <row r="10" spans="1:7" x14ac:dyDescent="0.25">
      <c r="A10" s="53" t="s">
        <v>448</v>
      </c>
      <c r="B10" s="60">
        <v>110376221.31248002</v>
      </c>
      <c r="C10" s="60">
        <v>95433730.393600002</v>
      </c>
      <c r="D10" s="60">
        <v>101644850.63</v>
      </c>
      <c r="E10" s="60">
        <v>119622372.21240003</v>
      </c>
      <c r="F10" s="60">
        <v>138567278.08000004</v>
      </c>
      <c r="G10" s="60">
        <v>135443264.41</v>
      </c>
    </row>
    <row r="11" spans="1:7" x14ac:dyDescent="0.25">
      <c r="A11" s="53" t="s">
        <v>449</v>
      </c>
      <c r="B11" s="60">
        <v>352772.25</v>
      </c>
      <c r="C11" s="60">
        <v>683412.22</v>
      </c>
      <c r="D11" s="60">
        <v>548456.6</v>
      </c>
      <c r="E11" s="60">
        <v>789898.60999999987</v>
      </c>
      <c r="F11" s="60">
        <v>1082210.2</v>
      </c>
      <c r="G11" s="60">
        <v>2374447.9300000002</v>
      </c>
    </row>
    <row r="12" spans="1:7" x14ac:dyDescent="0.25">
      <c r="A12" s="53" t="s">
        <v>450</v>
      </c>
      <c r="B12" s="60">
        <v>12445721.347999997</v>
      </c>
      <c r="C12" s="60">
        <v>14786128.650000006</v>
      </c>
      <c r="D12" s="60">
        <v>14984739.609999999</v>
      </c>
      <c r="E12" s="60">
        <v>15384935.019999998</v>
      </c>
      <c r="F12" s="60">
        <v>23203027.810000002</v>
      </c>
      <c r="G12" s="60">
        <v>27156574.969999999</v>
      </c>
    </row>
    <row r="13" spans="1:7" x14ac:dyDescent="0.25">
      <c r="A13" s="53" t="s">
        <v>451</v>
      </c>
      <c r="B13" s="60"/>
      <c r="C13" s="60">
        <v>0</v>
      </c>
      <c r="D13" s="60">
        <v>0</v>
      </c>
      <c r="E13" s="60"/>
      <c r="F13" s="60"/>
      <c r="G13" s="60">
        <v>73594140.430000007</v>
      </c>
    </row>
    <row r="14" spans="1:7" x14ac:dyDescent="0.25">
      <c r="A14" s="53" t="s">
        <v>452</v>
      </c>
      <c r="B14" s="60"/>
      <c r="C14" s="60"/>
      <c r="D14" s="60">
        <v>0</v>
      </c>
      <c r="E14" s="60"/>
      <c r="F14" s="60"/>
      <c r="G14" s="60">
        <v>0</v>
      </c>
    </row>
    <row r="15" spans="1:7" x14ac:dyDescent="0.25">
      <c r="A15" s="53" t="s">
        <v>453</v>
      </c>
      <c r="B15" s="60">
        <v>7745229.3599999994</v>
      </c>
      <c r="C15" s="60">
        <v>0</v>
      </c>
      <c r="D15" s="60">
        <v>0</v>
      </c>
      <c r="E15" s="60">
        <v>16521.89</v>
      </c>
      <c r="F15" s="60">
        <v>1862710.03</v>
      </c>
      <c r="G15" s="60">
        <v>0</v>
      </c>
    </row>
    <row r="16" spans="1:7" x14ac:dyDescent="0.25">
      <c r="A16" s="53" t="s">
        <v>454</v>
      </c>
      <c r="B16" s="60">
        <v>4736152.71</v>
      </c>
      <c r="C16" s="60">
        <v>2644834.4500000002</v>
      </c>
      <c r="D16" s="60">
        <v>0</v>
      </c>
      <c r="E16" s="60"/>
      <c r="F16" s="60"/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31794293.52</v>
      </c>
      <c r="C18" s="61">
        <f t="shared" ref="C18:G18" si="1">SUM(C19:C27)</f>
        <v>44623231.243999995</v>
      </c>
      <c r="D18" s="61">
        <f t="shared" si="1"/>
        <v>73582559.870000005</v>
      </c>
      <c r="E18" s="61">
        <f t="shared" si="1"/>
        <v>75155721.780000001</v>
      </c>
      <c r="F18" s="61">
        <f t="shared" si="1"/>
        <v>138826523</v>
      </c>
      <c r="G18" s="61">
        <f t="shared" si="1"/>
        <v>136701828.80000001</v>
      </c>
    </row>
    <row r="19" spans="1:7" x14ac:dyDescent="0.25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451</v>
      </c>
      <c r="B24" s="60">
        <v>31794293.52</v>
      </c>
      <c r="C24" s="60">
        <v>44623231.243999995</v>
      </c>
      <c r="D24" s="60">
        <v>73582559.870000005</v>
      </c>
      <c r="E24" s="60">
        <v>75155721.780000001</v>
      </c>
      <c r="F24" s="60">
        <v>138826523</v>
      </c>
      <c r="G24" s="60">
        <v>136701828.80000001</v>
      </c>
    </row>
    <row r="25" spans="1:7" x14ac:dyDescent="0.25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288208676.30964005</v>
      </c>
      <c r="C29" s="60">
        <f t="shared" ref="C29:G29" si="2">C7+C18</f>
        <v>284784045.31260002</v>
      </c>
      <c r="D29" s="60">
        <f t="shared" si="2"/>
        <v>323573700.56999999</v>
      </c>
      <c r="E29" s="60">
        <f t="shared" si="2"/>
        <v>356636651.61240005</v>
      </c>
      <c r="F29" s="60">
        <f t="shared" si="2"/>
        <v>464985729.70920002</v>
      </c>
      <c r="G29" s="60">
        <f t="shared" si="2"/>
        <v>586603556.65999997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3284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3285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256414382.78964004</v>
      </c>
      <c r="Q2" s="18">
        <f>'Formato 7 d)'!C7</f>
        <v>240160814.0686</v>
      </c>
      <c r="R2" s="18">
        <f>'Formato 7 d)'!D7</f>
        <v>249991140.69999999</v>
      </c>
      <c r="S2" s="18">
        <f>'Formato 7 d)'!E7</f>
        <v>281480929.83240008</v>
      </c>
      <c r="T2" s="18">
        <f>'Formato 7 d)'!F7</f>
        <v>326159206.70920002</v>
      </c>
      <c r="U2" s="18">
        <f>'Formato 7 d)'!G7</f>
        <v>449901727.85999995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96682727.26000002</v>
      </c>
      <c r="Q3" s="18">
        <f>'Formato 7 d)'!C8</f>
        <v>104681954.33</v>
      </c>
      <c r="R3" s="18">
        <f>'Formato 7 d)'!D8</f>
        <v>105325635.65000001</v>
      </c>
      <c r="S3" s="18">
        <f>'Formato 7 d)'!E8</f>
        <v>105209381.61000007</v>
      </c>
      <c r="T3" s="18">
        <f>'Formato 7 d)'!F8</f>
        <v>109213604.25999998</v>
      </c>
      <c r="U3" s="18">
        <f>'Formato 7 d)'!G8</f>
        <v>114851276.38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24075558.54916</v>
      </c>
      <c r="Q4" s="18">
        <f>'Formato 7 d)'!C9</f>
        <v>21930754.024999999</v>
      </c>
      <c r="R4" s="18">
        <f>'Formato 7 d)'!D9</f>
        <v>27487458.210000001</v>
      </c>
      <c r="S4" s="18">
        <f>'Formato 7 d)'!E9</f>
        <v>40457820.490000002</v>
      </c>
      <c r="T4" s="18">
        <f>'Formato 7 d)'!F9</f>
        <v>52230376.329200022</v>
      </c>
      <c r="U4" s="18">
        <f>'Formato 7 d)'!G9</f>
        <v>96482023.739999995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110376221.31248002</v>
      </c>
      <c r="Q5" s="18">
        <f>'Formato 7 d)'!C10</f>
        <v>95433730.393600002</v>
      </c>
      <c r="R5" s="18">
        <f>'Formato 7 d)'!D10</f>
        <v>101644850.63</v>
      </c>
      <c r="S5" s="18">
        <f>'Formato 7 d)'!E10</f>
        <v>119622372.21240003</v>
      </c>
      <c r="T5" s="18">
        <f>'Formato 7 d)'!F10</f>
        <v>138567278.08000004</v>
      </c>
      <c r="U5" s="18">
        <f>'Formato 7 d)'!G10</f>
        <v>135443264.41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352772.25</v>
      </c>
      <c r="Q6" s="18">
        <f>'Formato 7 d)'!C11</f>
        <v>683412.22</v>
      </c>
      <c r="R6" s="18">
        <f>'Formato 7 d)'!D11</f>
        <v>548456.6</v>
      </c>
      <c r="S6" s="18">
        <f>'Formato 7 d)'!E11</f>
        <v>789898.60999999987</v>
      </c>
      <c r="T6" s="18">
        <f>'Formato 7 d)'!F11</f>
        <v>1082210.2</v>
      </c>
      <c r="U6" s="18">
        <f>'Formato 7 d)'!G11</f>
        <v>2374447.9300000002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12445721.347999997</v>
      </c>
      <c r="Q7" s="18">
        <f>'Formato 7 d)'!C12</f>
        <v>14786128.650000006</v>
      </c>
      <c r="R7" s="18">
        <f>'Formato 7 d)'!D12</f>
        <v>14984739.609999999</v>
      </c>
      <c r="S7" s="18">
        <f>'Formato 7 d)'!E12</f>
        <v>15384935.019999998</v>
      </c>
      <c r="T7" s="18">
        <f>'Formato 7 d)'!F12</f>
        <v>23203027.810000002</v>
      </c>
      <c r="U7" s="18">
        <f>'Formato 7 d)'!G12</f>
        <v>27156574.969999999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73594140.430000007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7745229.3599999994</v>
      </c>
      <c r="Q10" s="18">
        <f>'Formato 7 d)'!C15</f>
        <v>0</v>
      </c>
      <c r="R10" s="18">
        <f>'Formato 7 d)'!D15</f>
        <v>0</v>
      </c>
      <c r="S10" s="18">
        <f>'Formato 7 d)'!E15</f>
        <v>16521.89</v>
      </c>
      <c r="T10" s="18">
        <f>'Formato 7 d)'!F15</f>
        <v>1862710.03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4736152.71</v>
      </c>
      <c r="Q11" s="18">
        <f>'Formato 7 d)'!C16</f>
        <v>2644834.4500000002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31794293.52</v>
      </c>
      <c r="Q12" s="18">
        <f>'Formato 7 d)'!C18</f>
        <v>44623231.243999995</v>
      </c>
      <c r="R12" s="18">
        <f>'Formato 7 d)'!D18</f>
        <v>73582559.870000005</v>
      </c>
      <c r="S12" s="18">
        <f>'Formato 7 d)'!E18</f>
        <v>75155721.780000001</v>
      </c>
      <c r="T12" s="18">
        <f>'Formato 7 d)'!F18</f>
        <v>138826523</v>
      </c>
      <c r="U12" s="18">
        <f>'Formato 7 d)'!G18</f>
        <v>136701828.80000001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31794293.52</v>
      </c>
      <c r="Q18" s="18">
        <f>'Formato 7 d)'!C24</f>
        <v>44623231.243999995</v>
      </c>
      <c r="R18" s="18">
        <f>'Formato 7 d)'!D24</f>
        <v>73582559.870000005</v>
      </c>
      <c r="S18" s="18">
        <f>'Formato 7 d)'!E24</f>
        <v>75155721.780000001</v>
      </c>
      <c r="T18" s="18">
        <f>'Formato 7 d)'!F24</f>
        <v>138826523</v>
      </c>
      <c r="U18" s="18">
        <f>'Formato 7 d)'!G24</f>
        <v>136701828.80000001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288208676.30964005</v>
      </c>
      <c r="Q22" s="18">
        <f>'Formato 7 d)'!C29</f>
        <v>284784045.31260002</v>
      </c>
      <c r="R22" s="18">
        <f>'Formato 7 d)'!D29</f>
        <v>323573700.56999999</v>
      </c>
      <c r="S22" s="18">
        <f>'Formato 7 d)'!E29</f>
        <v>356636651.61240005</v>
      </c>
      <c r="T22" s="18">
        <f>'Formato 7 d)'!F29</f>
        <v>464985729.70920002</v>
      </c>
      <c r="U22" s="18">
        <f>'Formato 7 d)'!G29</f>
        <v>586603556.65999997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zoomScale="90" zoomScaleNormal="90" zoomScalePageLayoutView="90" workbookViewId="0">
      <selection activeCell="B33" sqref="B33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487</v>
      </c>
      <c r="B1" s="165"/>
      <c r="C1" s="165"/>
      <c r="D1" s="165"/>
      <c r="E1" s="165"/>
      <c r="F1" s="165"/>
      <c r="G1" s="111"/>
    </row>
    <row r="2" spans="1:7" x14ac:dyDescent="0.25">
      <c r="A2" s="153" t="str">
        <f>ENTE_PUBLICO</f>
        <v>JUNTA DE AGUA POTABLE DRENAJE ALCANTARILLADO Y SANEAMIENTO DEL MUNICIPIO DE IRAPUATO GTO, Gobierno del Estado de Guanajuato</v>
      </c>
      <c r="B2" s="154"/>
      <c r="C2" s="154"/>
      <c r="D2" s="154"/>
      <c r="E2" s="154"/>
      <c r="F2" s="155"/>
    </row>
    <row r="3" spans="1:7" x14ac:dyDescent="0.25">
      <c r="A3" s="162" t="s">
        <v>488</v>
      </c>
      <c r="B3" s="163"/>
      <c r="C3" s="163"/>
      <c r="D3" s="163"/>
      <c r="E3" s="163"/>
      <c r="F3" s="164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opLeftCell="A2" zoomScale="90" zoomScaleNormal="90" zoomScalePageLayoutView="90" workbookViewId="0">
      <selection activeCell="A4" sqref="A4:F4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537</v>
      </c>
      <c r="B1" s="165"/>
      <c r="C1" s="165"/>
      <c r="D1" s="165"/>
      <c r="E1" s="165"/>
      <c r="F1" s="165"/>
    </row>
    <row r="2" spans="1:6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x14ac:dyDescent="0.25">
      <c r="A4" s="159" t="str">
        <f>PERIODO_INFORME</f>
        <v>Al 31 de diciembre de 2018 y al 30 de marzo de 2019 (b)</v>
      </c>
      <c r="B4" s="160"/>
      <c r="C4" s="160"/>
      <c r="D4" s="160"/>
      <c r="E4" s="160"/>
      <c r="F4" s="161"/>
    </row>
    <row r="5" spans="1:6" x14ac:dyDescent="0.25">
      <c r="A5" s="162" t="s">
        <v>118</v>
      </c>
      <c r="B5" s="163"/>
      <c r="C5" s="163"/>
      <c r="D5" s="163"/>
      <c r="E5" s="163"/>
      <c r="F5" s="164"/>
    </row>
    <row r="6" spans="1:6" s="3" customFormat="1" ht="30" x14ac:dyDescent="0.25">
      <c r="A6" s="133" t="s">
        <v>3276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454168856.39999998</v>
      </c>
      <c r="C9" s="60">
        <f>SUM(C10:C16)</f>
        <v>411870735.46999997</v>
      </c>
      <c r="D9" s="100" t="s">
        <v>54</v>
      </c>
      <c r="E9" s="60">
        <f>SUM(E10:E18)</f>
        <v>5184351.1599999992</v>
      </c>
      <c r="F9" s="60">
        <f>SUM(F10:F18)</f>
        <v>29775981.100000001</v>
      </c>
    </row>
    <row r="10" spans="1:6" x14ac:dyDescent="0.25">
      <c r="A10" s="96" t="s">
        <v>4</v>
      </c>
      <c r="B10" s="60">
        <v>598999.73</v>
      </c>
      <c r="C10" s="60">
        <v>559499.73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57300691.979999997</v>
      </c>
      <c r="C11" s="60">
        <v>58037166.049999997</v>
      </c>
      <c r="D11" s="101" t="s">
        <v>56</v>
      </c>
      <c r="E11" s="60">
        <v>3621876.37</v>
      </c>
      <c r="F11" s="60">
        <v>8231786.8700000001</v>
      </c>
    </row>
    <row r="12" spans="1:6" x14ac:dyDescent="0.25">
      <c r="A12" s="96" t="s">
        <v>6</v>
      </c>
      <c r="B12" s="77">
        <v>45000</v>
      </c>
      <c r="C12" s="77">
        <v>0</v>
      </c>
      <c r="D12" s="101" t="s">
        <v>57</v>
      </c>
      <c r="E12" s="60">
        <v>23268.28</v>
      </c>
      <c r="F12" s="60">
        <v>17595994.84</v>
      </c>
    </row>
    <row r="13" spans="1:6" x14ac:dyDescent="0.25">
      <c r="A13" s="96" t="s">
        <v>7</v>
      </c>
      <c r="B13" s="60">
        <v>396224164.69</v>
      </c>
      <c r="C13" s="60">
        <v>353274069.69</v>
      </c>
      <c r="D13" s="101" t="s">
        <v>58</v>
      </c>
      <c r="E13" s="60">
        <v>0</v>
      </c>
      <c r="F13" s="60">
        <v>2462</v>
      </c>
    </row>
    <row r="14" spans="1:6" x14ac:dyDescent="0.25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674955.91</v>
      </c>
      <c r="F16" s="60">
        <v>2524645.2799999998</v>
      </c>
    </row>
    <row r="17" spans="1:6" x14ac:dyDescent="0.25">
      <c r="A17" s="95" t="s">
        <v>11</v>
      </c>
      <c r="B17" s="60">
        <f>SUM(B18:B24)</f>
        <v>28755458.009999998</v>
      </c>
      <c r="C17" s="60">
        <f>SUM(C18:C24)</f>
        <v>43745248.780000001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864250.6</v>
      </c>
      <c r="F18" s="60">
        <v>1421092.11</v>
      </c>
    </row>
    <row r="19" spans="1:6" x14ac:dyDescent="0.25">
      <c r="A19" s="97" t="s">
        <v>13</v>
      </c>
      <c r="B19" s="60">
        <v>22792249.09</v>
      </c>
      <c r="C19" s="60">
        <v>21578195.199999999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1602177.68</v>
      </c>
      <c r="C20" s="60">
        <v>1597782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45000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4316031.24</v>
      </c>
      <c r="C24" s="60">
        <v>20569271.579999998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5280990.96</v>
      </c>
      <c r="C25" s="60">
        <f>SUM(C26:C30)</f>
        <v>11180861.27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60">
        <v>16740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24654690.120000001</v>
      </c>
      <c r="F27" s="60">
        <f>SUM(F28:F30)</f>
        <v>2277551.62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24654690.120000001</v>
      </c>
      <c r="F28" s="60">
        <v>2277551.62</v>
      </c>
    </row>
    <row r="29" spans="1:6" x14ac:dyDescent="0.25">
      <c r="A29" s="97" t="s">
        <v>23</v>
      </c>
      <c r="B29" s="60">
        <v>5280990.96</v>
      </c>
      <c r="C29" s="60">
        <v>11164121.27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10081699.76</v>
      </c>
      <c r="C37" s="60">
        <v>13376659.949999999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498287005.12999994</v>
      </c>
      <c r="C47" s="61">
        <f>C9+C17+C25+C31+C38+C41+C37</f>
        <v>480173505.46999997</v>
      </c>
      <c r="D47" s="99" t="s">
        <v>91</v>
      </c>
      <c r="E47" s="61">
        <f>E9+E19+E23+E26+E27+E31+E38+E42</f>
        <v>29839041.280000001</v>
      </c>
      <c r="F47" s="61">
        <f>F9+F19+F23+F26+F27+F31+F38+F42</f>
        <v>32053532.720000003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1797963183.79</v>
      </c>
      <c r="C52" s="60">
        <v>1759333160.1800001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179472353.66999999</v>
      </c>
      <c r="C53" s="60">
        <v>176554606.22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2631963.11</v>
      </c>
      <c r="C54" s="60">
        <v>2631963.11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-593536352.38</v>
      </c>
      <c r="C55" s="60">
        <v>-577572837.77999997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1656907.75</v>
      </c>
      <c r="C56" s="60">
        <v>1656907.75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29839041.280000001</v>
      </c>
      <c r="F59" s="61">
        <f>F47+F57</f>
        <v>32053532.720000003</v>
      </c>
    </row>
    <row r="60" spans="1:6" x14ac:dyDescent="0.25">
      <c r="A60" s="55" t="s">
        <v>50</v>
      </c>
      <c r="B60" s="61">
        <f>SUM(B50:B58)</f>
        <v>1388188055.9400001</v>
      </c>
      <c r="C60" s="61">
        <f>SUM(C50:C58)</f>
        <v>1362603799.48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1886475061.0699999</v>
      </c>
      <c r="C62" s="61">
        <f>SUM(C47+C60)</f>
        <v>1842777304.95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398304509.64000005</v>
      </c>
      <c r="F63" s="77">
        <f>SUM(F64:F66)</f>
        <v>398304509.64000005</v>
      </c>
    </row>
    <row r="64" spans="1:6" x14ac:dyDescent="0.25">
      <c r="A64" s="54"/>
      <c r="B64" s="54"/>
      <c r="C64" s="54"/>
      <c r="D64" s="103" t="s">
        <v>103</v>
      </c>
      <c r="E64" s="77">
        <v>4610300.5999999996</v>
      </c>
      <c r="F64" s="77">
        <v>4610300.5999999996</v>
      </c>
    </row>
    <row r="65" spans="1:6" x14ac:dyDescent="0.25">
      <c r="A65" s="54"/>
      <c r="B65" s="54"/>
      <c r="C65" s="54"/>
      <c r="D65" s="41" t="s">
        <v>104</v>
      </c>
      <c r="E65" s="77">
        <v>10676834.380000001</v>
      </c>
      <c r="F65" s="77">
        <v>10676834.380000001</v>
      </c>
    </row>
    <row r="66" spans="1:6" x14ac:dyDescent="0.25">
      <c r="A66" s="54"/>
      <c r="B66" s="54"/>
      <c r="C66" s="54"/>
      <c r="D66" s="103" t="s">
        <v>105</v>
      </c>
      <c r="E66" s="77">
        <v>383017374.66000003</v>
      </c>
      <c r="F66" s="77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1458331510.1499999</v>
      </c>
      <c r="F68" s="77">
        <f>SUM(F69:F73)</f>
        <v>1412419262.5899999</v>
      </c>
    </row>
    <row r="69" spans="1:6" x14ac:dyDescent="0.25">
      <c r="A69" s="12"/>
      <c r="B69" s="54"/>
      <c r="C69" s="54"/>
      <c r="D69" s="103" t="s">
        <v>107</v>
      </c>
      <c r="E69" s="77">
        <v>45912247.560000002</v>
      </c>
      <c r="F69" s="77">
        <v>225633456.27000001</v>
      </c>
    </row>
    <row r="70" spans="1:6" x14ac:dyDescent="0.25">
      <c r="A70" s="12"/>
      <c r="B70" s="54"/>
      <c r="C70" s="54"/>
      <c r="D70" s="103" t="s">
        <v>108</v>
      </c>
      <c r="E70" s="77">
        <v>1405105034.72</v>
      </c>
      <c r="F70" s="77">
        <v>1179471578.45</v>
      </c>
    </row>
    <row r="71" spans="1:6" x14ac:dyDescent="0.25">
      <c r="A71" s="12"/>
      <c r="B71" s="54"/>
      <c r="C71" s="54"/>
      <c r="D71" s="103" t="s">
        <v>109</v>
      </c>
      <c r="E71" s="77">
        <v>5064933.6100000003</v>
      </c>
      <c r="F71" s="77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2249294.2599999998</v>
      </c>
      <c r="F73" s="77">
        <v>2249294.2599999998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1856636019.79</v>
      </c>
      <c r="F79" s="61">
        <f>F63+F68+F75</f>
        <v>1810723772.23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1886475061.0699999</v>
      </c>
      <c r="F81" s="61">
        <f>F59+F79</f>
        <v>1842777304.95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454168856.39999998</v>
      </c>
      <c r="Q4" s="18">
        <f>'Formato 1'!C9</f>
        <v>411870735.46999997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598999.73</v>
      </c>
      <c r="Q5" s="18">
        <f>'Formato 1'!C10</f>
        <v>559499.73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57300691.979999997</v>
      </c>
      <c r="Q6" s="18">
        <f>'Formato 1'!C11</f>
        <v>58037166.049999997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45000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396224164.69</v>
      </c>
      <c r="Q8" s="18">
        <f>'Formato 1'!C13</f>
        <v>353274069.69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28755458.009999998</v>
      </c>
      <c r="Q12" s="18">
        <f>'Formato 1'!C17</f>
        <v>43745248.780000001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22792249.09</v>
      </c>
      <c r="Q14" s="18">
        <f>'Formato 1'!C19</f>
        <v>21578195.199999999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1602177.68</v>
      </c>
      <c r="Q15" s="18">
        <f>'Formato 1'!C20</f>
        <v>1597782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45000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4316031.24</v>
      </c>
      <c r="Q19" s="18">
        <f>'Formato 1'!C24</f>
        <v>20569271.579999998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5280990.96</v>
      </c>
      <c r="Q20" s="18">
        <f>'Formato 1'!C25</f>
        <v>11180861.27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0</v>
      </c>
      <c r="Q21" s="18">
        <f>'Formato 1'!C26</f>
        <v>16740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5280990.96</v>
      </c>
      <c r="Q24" s="18">
        <f>'Formato 1'!C29</f>
        <v>11164121.27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10081699.76</v>
      </c>
      <c r="Q32" s="18">
        <f>'Formato 1'!C37</f>
        <v>13376659.949999999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10081699.76</v>
      </c>
      <c r="Q33" s="18">
        <f>'Formato 1'!C37</f>
        <v>13376659.949999999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498287005.12999994</v>
      </c>
      <c r="Q42" s="18">
        <f>'Formato 1'!C47</f>
        <v>480173505.46999997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1797963183.79</v>
      </c>
      <c r="Q46">
        <f>'Formato 1'!C52</f>
        <v>1759333160.1800001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179472353.66999999</v>
      </c>
      <c r="Q47">
        <f>'Formato 1'!C53</f>
        <v>176554606.22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2631963.11</v>
      </c>
      <c r="Q48">
        <f>'Formato 1'!C54</f>
        <v>2631963.11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-593536352.38</v>
      </c>
      <c r="Q49">
        <f>'Formato 1'!C55</f>
        <v>-577572837.77999997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1656907.75</v>
      </c>
      <c r="Q50">
        <f>'Formato 1'!C56</f>
        <v>1656907.75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1388188055.9400001</v>
      </c>
      <c r="Q53">
        <f>'Formato 1'!C60</f>
        <v>1362603799.48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1886475061.0699999</v>
      </c>
      <c r="Q54">
        <f>'Formato 1'!C62</f>
        <v>1842777304.95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5184351.1599999992</v>
      </c>
      <c r="Q57">
        <f>'Formato 1'!F9</f>
        <v>29775981.100000001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3621876.37</v>
      </c>
      <c r="Q59">
        <f>'Formato 1'!F11</f>
        <v>8231786.8700000001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23268.28</v>
      </c>
      <c r="Q60">
        <f>'Formato 1'!F12</f>
        <v>17595994.84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2462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674955.91</v>
      </c>
      <c r="Q64">
        <f>'Formato 1'!F16</f>
        <v>2524645.2799999998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864250.6</v>
      </c>
      <c r="Q66">
        <f>'Formato 1'!F18</f>
        <v>1421092.11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24654690.120000001</v>
      </c>
      <c r="Q76">
        <f>'Formato 1'!F27</f>
        <v>2277551.62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24654690.120000001</v>
      </c>
      <c r="Q77">
        <f>'Formato 1'!F28</f>
        <v>2277551.62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29839041.280000001</v>
      </c>
      <c r="Q95">
        <f>'Formato 1'!F47</f>
        <v>32053532.720000003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29839041.280000001</v>
      </c>
      <c r="Q104">
        <f>'Formato 1'!F59</f>
        <v>32053532.720000003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398304509.64000005</v>
      </c>
      <c r="Q106">
        <f>'Formato 1'!F63</f>
        <v>398304509.64000005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10676834.380000001</v>
      </c>
      <c r="Q108">
        <f>'Formato 1'!F65</f>
        <v>10676834.380000001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1458331510.1499999</v>
      </c>
      <c r="Q110">
        <f>'Formato 1'!F68</f>
        <v>1412419262.5899999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45912247.560000002</v>
      </c>
      <c r="Q111">
        <f>'Formato 1'!F69</f>
        <v>225633456.27000001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1405105034.72</v>
      </c>
      <c r="Q112">
        <f>'Formato 1'!F70</f>
        <v>1179471578.45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2249294.2599999998</v>
      </c>
      <c r="Q115">
        <f>'Formato 1'!F73</f>
        <v>2249294.2599999998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1856636019.79</v>
      </c>
      <c r="Q119">
        <f>'Formato 1'!F79</f>
        <v>1810723772.23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1886475061.0699999</v>
      </c>
      <c r="Q120">
        <f>'Formato 1'!F81</f>
        <v>1842777304.95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zoomScale="90" zoomScaleNormal="90" zoomScalePageLayoutView="90" workbookViewId="0">
      <selection activeCell="B13" sqref="B13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536</v>
      </c>
      <c r="B1" s="167"/>
      <c r="C1" s="167"/>
      <c r="D1" s="167"/>
      <c r="E1" s="167"/>
      <c r="F1" s="167"/>
      <c r="G1" s="167"/>
      <c r="H1" s="167"/>
    </row>
    <row r="2" spans="1:9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x14ac:dyDescent="0.25">
      <c r="A4" s="159" t="str">
        <f>PERIODO_INFORME</f>
        <v>Al 31 de diciembre de 2018 y al 30 de marzo de 2019 (b)</v>
      </c>
      <c r="B4" s="160"/>
      <c r="C4" s="160"/>
      <c r="D4" s="160"/>
      <c r="E4" s="160"/>
      <c r="F4" s="160"/>
      <c r="G4" s="160"/>
      <c r="H4" s="161"/>
    </row>
    <row r="5" spans="1:9" x14ac:dyDescent="0.2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32053532.719999999</v>
      </c>
      <c r="C18" s="132"/>
      <c r="D18" s="132"/>
      <c r="E18" s="132"/>
      <c r="F18" s="61">
        <v>29839041.280000001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32053532.719999999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29839041.280000001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3292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3</v>
      </c>
      <c r="C41" s="61">
        <f>SUM(C42:OB_CORTO_PLAZO_FIN_02)</f>
        <v>3</v>
      </c>
      <c r="D41" s="61">
        <f>SUM(D42:OB_CORTO_PLAZO_FIN_03)</f>
        <v>3</v>
      </c>
      <c r="E41" s="61">
        <f>SUM(E42:OB_CORTO_PLAZO_FIN_04)</f>
        <v>3</v>
      </c>
      <c r="F41" s="61">
        <f>SUM(F42:OB_CORTO_PLAZO_FIN_05)</f>
        <v>3</v>
      </c>
    </row>
    <row r="42" spans="1:8" s="24" customFormat="1" x14ac:dyDescent="0.25">
      <c r="A42" s="109" t="s">
        <v>440</v>
      </c>
      <c r="B42" s="60">
        <v>1</v>
      </c>
      <c r="C42" s="60">
        <v>1</v>
      </c>
      <c r="D42" s="60">
        <v>1</v>
      </c>
      <c r="E42" s="60">
        <v>1</v>
      </c>
      <c r="F42" s="60">
        <v>1</v>
      </c>
    </row>
    <row r="43" spans="1:8" s="24" customFormat="1" x14ac:dyDescent="0.25">
      <c r="A43" s="109" t="s">
        <v>441</v>
      </c>
      <c r="B43" s="60">
        <v>1</v>
      </c>
      <c r="C43" s="60">
        <v>1</v>
      </c>
      <c r="D43" s="60">
        <v>1</v>
      </c>
      <c r="E43" s="60">
        <v>1</v>
      </c>
      <c r="F43" s="60">
        <v>1</v>
      </c>
    </row>
    <row r="44" spans="1:8" s="24" customFormat="1" x14ac:dyDescent="0.25">
      <c r="A44" s="109" t="s">
        <v>442</v>
      </c>
      <c r="B44" s="60">
        <v>1</v>
      </c>
      <c r="C44" s="60">
        <v>1</v>
      </c>
      <c r="D44" s="60">
        <v>1</v>
      </c>
      <c r="E44" s="60">
        <v>1</v>
      </c>
      <c r="F44" s="60">
        <v>1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32053532.719999999</v>
      </c>
      <c r="Q12" s="18"/>
      <c r="R12" s="18"/>
      <c r="S12" s="18"/>
      <c r="T12" s="18">
        <f>'Formato 2'!F18</f>
        <v>29839041.280000001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32053532.719999999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29839041.280000001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90" zoomScaleNormal="90" zoomScalePageLayoutView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535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x14ac:dyDescent="0.25">
      <c r="A4" s="159" t="str">
        <f>TRIMESTRE</f>
        <v>Del 1 de enero al 30 de marzo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x14ac:dyDescent="0.2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2019 (k)</v>
      </c>
      <c r="J6" s="131" t="str">
        <f>MONTO2</f>
        <v>Monto pagado de la inversión actualizado al 30 de marzo de 2019 (l)</v>
      </c>
      <c r="K6" s="131" t="str">
        <f>SALDO_PENDIENTE</f>
        <v>Saldo pendiente por pagar de la inversión al 30 de marzo de 2019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2019-04-24T22:21:38Z</dcterms:modified>
</cp:coreProperties>
</file>