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 tabRatio="992" firstSheet="3" activeTab="1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b)'!$A$69</definedName>
    <definedName name="GASTO_E_FIN">'Formato 6 b)'!$A$129</definedName>
    <definedName name="GASTO_E_FIN_01">'Formato 6 b)'!$B$129</definedName>
    <definedName name="GASTO_E_FIN_02">'Formato 6 b)'!$C$129</definedName>
    <definedName name="GASTO_E_FIN_03">'Formato 6 b)'!$D$129</definedName>
    <definedName name="GASTO_E_FIN_04">'Formato 6 b)'!$E$129</definedName>
    <definedName name="GASTO_E_FIN_05">'Formato 6 b)'!$F$129</definedName>
    <definedName name="GASTO_E_FIN_06">'Formato 6 b)'!$G$129</definedName>
    <definedName name="GASTO_E_T1">'Formato 6 b)'!$B$69</definedName>
    <definedName name="GASTO_E_T2">'Formato 6 b)'!$C$69</definedName>
    <definedName name="GASTO_E_T3">'Formato 6 b)'!$D$69</definedName>
    <definedName name="GASTO_E_T4">'Formato 6 b)'!$E$69</definedName>
    <definedName name="GASTO_E_T5">'Formato 6 b)'!$F$69</definedName>
    <definedName name="GASTO_E_T6">'Formato 6 b)'!$G$69</definedName>
    <definedName name="GASTO_NE">'Formato 6 b)'!$A$9</definedName>
    <definedName name="GASTO_NE_FIN">'Formato 6 b)'!$A$68</definedName>
    <definedName name="GASTO_NE_FIN_01">'Formato 6 b)'!$B$68</definedName>
    <definedName name="GASTO_NE_FIN_02">'Formato 6 b)'!$C$68</definedName>
    <definedName name="GASTO_NE_FIN_03">'Formato 6 b)'!$D$68</definedName>
    <definedName name="GASTO_NE_FIN_04">'Formato 6 b)'!$E$68</definedName>
    <definedName name="GASTO_NE_FIN_05">'Formato 6 b)'!$F$68</definedName>
    <definedName name="GASTO_NE_FIN_06">'Formato 6 b)'!$G$68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b)'!$B$130</definedName>
    <definedName name="TOTAL_E_T2">'Formato 6 b)'!$C$130</definedName>
    <definedName name="TOTAL_E_T3">'Formato 6 b)'!$D$130</definedName>
    <definedName name="TOTAL_E_T4">'Formato 6 b)'!$E$130</definedName>
    <definedName name="TOTAL_E_T5">'Formato 6 b)'!$F$130</definedName>
    <definedName name="TOTAL_E_T6">'Formato 6 b)'!$G$130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5" l="1"/>
  <c r="D67" i="5"/>
  <c r="H10" i="2"/>
  <c r="G10" i="2"/>
  <c r="F10" i="2"/>
  <c r="E10" i="2"/>
  <c r="D10" i="2"/>
  <c r="C10" i="2"/>
  <c r="B10" i="2"/>
  <c r="C9" i="1"/>
  <c r="C17" i="1"/>
  <c r="C25" i="1"/>
  <c r="C31" i="1"/>
  <c r="C38" i="1"/>
  <c r="C41" i="1"/>
  <c r="B9" i="1"/>
  <c r="B17" i="1"/>
  <c r="B25" i="1"/>
  <c r="B31" i="1"/>
  <c r="B38" i="1"/>
  <c r="B41" i="1"/>
  <c r="C25" i="11"/>
  <c r="D25" i="11"/>
  <c r="C27" i="10"/>
  <c r="D27" i="10" s="1"/>
  <c r="C15" i="10"/>
  <c r="D15" i="10"/>
  <c r="R9" i="28" s="1"/>
  <c r="C13" i="10"/>
  <c r="D13" i="10" s="1"/>
  <c r="R7" i="28" s="1"/>
  <c r="G118" i="7"/>
  <c r="G117" i="7"/>
  <c r="G116" i="7"/>
  <c r="G115" i="7"/>
  <c r="G59" i="7"/>
  <c r="G58" i="7"/>
  <c r="G96" i="7"/>
  <c r="G95" i="7"/>
  <c r="G94" i="7"/>
  <c r="G93" i="7"/>
  <c r="G92" i="7"/>
  <c r="G91" i="7"/>
  <c r="G90" i="7"/>
  <c r="G89" i="7"/>
  <c r="G88" i="7"/>
  <c r="G87" i="7"/>
  <c r="G86" i="7"/>
  <c r="G121" i="7"/>
  <c r="G120" i="7"/>
  <c r="G119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41" i="7"/>
  <c r="G40" i="7"/>
  <c r="G39" i="7"/>
  <c r="G38" i="7"/>
  <c r="G37" i="7"/>
  <c r="G36" i="7"/>
  <c r="G35" i="7"/>
  <c r="C10" i="11"/>
  <c r="D10" i="11"/>
  <c r="C11" i="11"/>
  <c r="D11" i="11" s="1"/>
  <c r="R5" i="29" s="1"/>
  <c r="C12" i="11"/>
  <c r="D12" i="11"/>
  <c r="E12" i="11" s="1"/>
  <c r="C13" i="11"/>
  <c r="C9" i="11"/>
  <c r="D9" i="11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61" i="7"/>
  <c r="G60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34" i="7"/>
  <c r="G138" i="6"/>
  <c r="G139" i="6"/>
  <c r="G140" i="6"/>
  <c r="G141" i="6"/>
  <c r="G142" i="6"/>
  <c r="G144" i="6"/>
  <c r="G145" i="6"/>
  <c r="U137" i="24" s="1"/>
  <c r="C137" i="6"/>
  <c r="D137" i="6"/>
  <c r="E137" i="6"/>
  <c r="S129" i="24" s="1"/>
  <c r="F137" i="6"/>
  <c r="B137" i="6"/>
  <c r="C62" i="6"/>
  <c r="D62" i="6"/>
  <c r="R55" i="24" s="1"/>
  <c r="E62" i="6"/>
  <c r="F62" i="6"/>
  <c r="G63" i="6"/>
  <c r="G64" i="6"/>
  <c r="G65" i="6"/>
  <c r="G66" i="6"/>
  <c r="G67" i="6"/>
  <c r="G69" i="6"/>
  <c r="G70" i="6"/>
  <c r="B62" i="6"/>
  <c r="B8" i="10"/>
  <c r="P2" i="28" s="1"/>
  <c r="C6" i="23"/>
  <c r="C7" i="23" s="1"/>
  <c r="H25" i="23"/>
  <c r="F5" i="12" s="1"/>
  <c r="G25" i="23"/>
  <c r="F25" i="23"/>
  <c r="E25" i="23"/>
  <c r="D25" i="23"/>
  <c r="G30" i="9"/>
  <c r="G31" i="9"/>
  <c r="G29" i="9"/>
  <c r="G26" i="9"/>
  <c r="G27" i="9"/>
  <c r="G25" i="9"/>
  <c r="G23" i="9"/>
  <c r="G22" i="9"/>
  <c r="U14" i="27" s="1"/>
  <c r="G19" i="9"/>
  <c r="G18" i="9"/>
  <c r="G17" i="9"/>
  <c r="G14" i="9"/>
  <c r="G15" i="9"/>
  <c r="G13" i="9"/>
  <c r="G11" i="9"/>
  <c r="U4" i="27" s="1"/>
  <c r="G10" i="9"/>
  <c r="G73" i="8"/>
  <c r="G74" i="8"/>
  <c r="G75" i="8"/>
  <c r="U67" i="26" s="1"/>
  <c r="G72" i="8"/>
  <c r="G71" i="8" s="1"/>
  <c r="U63" i="26" s="1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U51" i="26" s="1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U4" i="26" s="1"/>
  <c r="G12" i="8"/>
  <c r="G13" i="8"/>
  <c r="G14" i="8"/>
  <c r="G15" i="8"/>
  <c r="U8" i="26" s="1"/>
  <c r="G16" i="8"/>
  <c r="G17" i="8"/>
  <c r="G18" i="8"/>
  <c r="G20" i="8"/>
  <c r="G21" i="8"/>
  <c r="G22" i="8"/>
  <c r="G23" i="8"/>
  <c r="G24" i="8"/>
  <c r="G25" i="8"/>
  <c r="G26" i="8"/>
  <c r="G28" i="8"/>
  <c r="G29" i="8"/>
  <c r="G30" i="8"/>
  <c r="G31" i="8"/>
  <c r="G32" i="8"/>
  <c r="U25" i="26" s="1"/>
  <c r="G33" i="8"/>
  <c r="U26" i="26" s="1"/>
  <c r="G34" i="8"/>
  <c r="G35" i="8"/>
  <c r="U28" i="26" s="1"/>
  <c r="G36" i="8"/>
  <c r="G122" i="7"/>
  <c r="G123" i="7"/>
  <c r="G124" i="7"/>
  <c r="G125" i="7"/>
  <c r="G126" i="7"/>
  <c r="G127" i="7"/>
  <c r="G128" i="7"/>
  <c r="G70" i="7"/>
  <c r="G11" i="7"/>
  <c r="G62" i="7"/>
  <c r="G63" i="7"/>
  <c r="G64" i="7"/>
  <c r="G65" i="7"/>
  <c r="G66" i="7"/>
  <c r="G67" i="7"/>
  <c r="G10" i="7"/>
  <c r="B10" i="6"/>
  <c r="P3" i="24" s="1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U119" i="24" s="1"/>
  <c r="G128" i="6"/>
  <c r="G129" i="6"/>
  <c r="G130" i="6"/>
  <c r="G131" i="6"/>
  <c r="U123" i="24" s="1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U81" i="24" s="1"/>
  <c r="G90" i="6"/>
  <c r="G91" i="6"/>
  <c r="G92" i="6"/>
  <c r="G86" i="6"/>
  <c r="G85" i="6" s="1"/>
  <c r="U77" i="24" s="1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19" i="6"/>
  <c r="G22" i="6"/>
  <c r="G23" i="6"/>
  <c r="G24" i="6"/>
  <c r="G25" i="6"/>
  <c r="G26" i="6"/>
  <c r="G27" i="6"/>
  <c r="G11" i="6"/>
  <c r="B7" i="13"/>
  <c r="G12" i="6"/>
  <c r="G13" i="6"/>
  <c r="G14" i="6"/>
  <c r="G15" i="6"/>
  <c r="G16" i="6"/>
  <c r="G17" i="6"/>
  <c r="U10" i="24" s="1"/>
  <c r="G9" i="5"/>
  <c r="U3" i="20" s="1"/>
  <c r="G10" i="5"/>
  <c r="G11" i="5"/>
  <c r="G12" i="5"/>
  <c r="G13" i="5"/>
  <c r="U7" i="20"/>
  <c r="G14" i="5"/>
  <c r="G15" i="5"/>
  <c r="G17" i="5"/>
  <c r="G18" i="5"/>
  <c r="U12" i="20" s="1"/>
  <c r="G19" i="5"/>
  <c r="G20" i="5"/>
  <c r="G21" i="5"/>
  <c r="G22" i="5"/>
  <c r="U16" i="20" s="1"/>
  <c r="G23" i="5"/>
  <c r="G24" i="5"/>
  <c r="U18" i="20" s="1"/>
  <c r="G25" i="5"/>
  <c r="G26" i="5"/>
  <c r="U20" i="20" s="1"/>
  <c r="G27" i="5"/>
  <c r="G29" i="5"/>
  <c r="G28" i="5" s="1"/>
  <c r="U22" i="20" s="1"/>
  <c r="G30" i="5"/>
  <c r="G31" i="5"/>
  <c r="G32" i="5"/>
  <c r="G33" i="5"/>
  <c r="G34" i="5"/>
  <c r="G36" i="5"/>
  <c r="G35" i="5" s="1"/>
  <c r="G38" i="5"/>
  <c r="G39" i="5"/>
  <c r="G37" i="5"/>
  <c r="U31" i="20" s="1"/>
  <c r="F20" i="23"/>
  <c r="B6" i="2" s="1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D18" i="13"/>
  <c r="R12" i="31"/>
  <c r="E18" i="13"/>
  <c r="S12" i="31"/>
  <c r="F18" i="13"/>
  <c r="T12" i="31"/>
  <c r="G18" i="13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Q2" i="31" s="1"/>
  <c r="D7" i="13"/>
  <c r="D29" i="13"/>
  <c r="R22" i="31"/>
  <c r="E7" i="13"/>
  <c r="F7" i="13"/>
  <c r="T2" i="31"/>
  <c r="F29" i="13"/>
  <c r="T22" i="31"/>
  <c r="G7" i="13"/>
  <c r="U2" i="31"/>
  <c r="R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E21" i="12"/>
  <c r="S15" i="30" s="1"/>
  <c r="F21" i="12"/>
  <c r="T15" i="30" s="1"/>
  <c r="G21" i="12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F28" i="12"/>
  <c r="T21" i="30"/>
  <c r="G28" i="12"/>
  <c r="U21" i="30"/>
  <c r="P22" i="30"/>
  <c r="Q22" i="30"/>
  <c r="R22" i="30"/>
  <c r="S22" i="30"/>
  <c r="T22" i="30"/>
  <c r="U22" i="30"/>
  <c r="B7" i="12"/>
  <c r="C7" i="12"/>
  <c r="C31" i="12" s="1"/>
  <c r="Q23" i="30"/>
  <c r="D7" i="12"/>
  <c r="R2" i="30"/>
  <c r="E7" i="12"/>
  <c r="F7" i="12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Q2" i="30"/>
  <c r="S2" i="30"/>
  <c r="U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P4" i="29"/>
  <c r="Q4" i="29"/>
  <c r="P5" i="29"/>
  <c r="Q5" i="29"/>
  <c r="P6" i="29"/>
  <c r="Q6" i="29"/>
  <c r="R6" i="29"/>
  <c r="P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S7" i="28"/>
  <c r="T7" i="28"/>
  <c r="U7" i="28"/>
  <c r="Q8" i="28"/>
  <c r="R8" i="28"/>
  <c r="S8" i="28"/>
  <c r="T8" i="28"/>
  <c r="U8" i="28"/>
  <c r="Q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E22" i="10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S20" i="28"/>
  <c r="T20" i="28"/>
  <c r="U20" i="28"/>
  <c r="Q21" i="28"/>
  <c r="R21" i="28"/>
  <c r="S21" i="28"/>
  <c r="T21" i="28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R9" i="27"/>
  <c r="E12" i="9"/>
  <c r="E16" i="9"/>
  <c r="F12" i="9"/>
  <c r="F16" i="9"/>
  <c r="T9" i="27" s="1"/>
  <c r="G12" i="9"/>
  <c r="U5" i="27"/>
  <c r="Q3" i="27"/>
  <c r="R3" i="27"/>
  <c r="S3" i="27"/>
  <c r="T3" i="27"/>
  <c r="U3" i="27"/>
  <c r="Q4" i="27"/>
  <c r="R4" i="27"/>
  <c r="S4" i="27"/>
  <c r="T4" i="27"/>
  <c r="S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S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 s="1"/>
  <c r="Q13" i="27"/>
  <c r="D24" i="9"/>
  <c r="D28" i="9"/>
  <c r="D21" i="9" s="1"/>
  <c r="R13" i="27" s="1"/>
  <c r="E24" i="9"/>
  <c r="E28" i="9"/>
  <c r="S20" i="27" s="1"/>
  <c r="E21" i="9"/>
  <c r="S13" i="27" s="1"/>
  <c r="F24" i="9"/>
  <c r="F28" i="9"/>
  <c r="T20" i="27" s="1"/>
  <c r="F21" i="9"/>
  <c r="T13" i="27" s="1"/>
  <c r="G28" i="9"/>
  <c r="U20" i="27" s="1"/>
  <c r="Q14" i="27"/>
  <c r="R14" i="27"/>
  <c r="S14" i="27"/>
  <c r="T14" i="27"/>
  <c r="Q15" i="27"/>
  <c r="R15" i="27"/>
  <c r="S15" i="27"/>
  <c r="T15" i="27"/>
  <c r="U15" i="27"/>
  <c r="Q16" i="27"/>
  <c r="R16" i="27"/>
  <c r="S16" i="27"/>
  <c r="T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/>
  <c r="P6" i="27"/>
  <c r="P7" i="27"/>
  <c r="P8" i="27"/>
  <c r="B16" i="9"/>
  <c r="P10" i="27"/>
  <c r="P11" i="27"/>
  <c r="P12" i="27"/>
  <c r="B24" i="9"/>
  <c r="B28" i="9"/>
  <c r="B21" i="9" s="1"/>
  <c r="P14" i="27"/>
  <c r="P15" i="27"/>
  <c r="P16" i="27"/>
  <c r="P17" i="27"/>
  <c r="P18" i="27"/>
  <c r="P19" i="27"/>
  <c r="P20" i="27"/>
  <c r="P21" i="27"/>
  <c r="P22" i="27"/>
  <c r="P23" i="27"/>
  <c r="A5" i="27"/>
  <c r="A4" i="27"/>
  <c r="A3" i="27"/>
  <c r="A2" i="27"/>
  <c r="C10" i="8"/>
  <c r="C19" i="8"/>
  <c r="C27" i="8"/>
  <c r="C37" i="8"/>
  <c r="Q30" i="26" s="1"/>
  <c r="D10" i="8"/>
  <c r="D19" i="8"/>
  <c r="D27" i="8"/>
  <c r="D37" i="8"/>
  <c r="R30" i="26" s="1"/>
  <c r="E10" i="8"/>
  <c r="E19" i="8"/>
  <c r="E27" i="8"/>
  <c r="S20" i="26" s="1"/>
  <c r="E37" i="8"/>
  <c r="S30" i="26"/>
  <c r="F10" i="8"/>
  <c r="F19" i="8"/>
  <c r="F27" i="8"/>
  <c r="T20" i="26"/>
  <c r="F37" i="8"/>
  <c r="R3" i="26"/>
  <c r="T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C61" i="8"/>
  <c r="Q53" i="26" s="1"/>
  <c r="C71" i="8"/>
  <c r="Q63" i="26" s="1"/>
  <c r="D44" i="8"/>
  <c r="D53" i="8"/>
  <c r="D43" i="8" s="1"/>
  <c r="R35" i="26" s="1"/>
  <c r="D61" i="8"/>
  <c r="D71" i="8"/>
  <c r="E44" i="8"/>
  <c r="S36" i="26" s="1"/>
  <c r="E53" i="8"/>
  <c r="E61" i="8"/>
  <c r="E71" i="8"/>
  <c r="S63" i="26" s="1"/>
  <c r="F44" i="8"/>
  <c r="F53" i="8"/>
  <c r="T45" i="26" s="1"/>
  <c r="F61" i="8"/>
  <c r="T53" i="26" s="1"/>
  <c r="F71" i="8"/>
  <c r="T63" i="26" s="1"/>
  <c r="R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R53" i="26"/>
  <c r="S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B44" i="8"/>
  <c r="P36" i="26"/>
  <c r="B53" i="8"/>
  <c r="B61" i="8"/>
  <c r="P53" i="26" s="1"/>
  <c r="B71" i="8"/>
  <c r="P63" i="26" s="1"/>
  <c r="B10" i="8"/>
  <c r="P3" i="26" s="1"/>
  <c r="B19" i="8"/>
  <c r="B27" i="8"/>
  <c r="P20" i="26" s="1"/>
  <c r="B37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69" i="7"/>
  <c r="U3" i="25" s="1"/>
  <c r="F9" i="7"/>
  <c r="F130" i="7" s="1"/>
  <c r="T4" i="25" s="1"/>
  <c r="F69" i="7"/>
  <c r="T3" i="25"/>
  <c r="E9" i="7"/>
  <c r="E69" i="7"/>
  <c r="D9" i="7"/>
  <c r="D130" i="7" s="1"/>
  <c r="R4" i="25" s="1"/>
  <c r="D69" i="7"/>
  <c r="R3" i="25" s="1"/>
  <c r="C9" i="7"/>
  <c r="C69" i="7"/>
  <c r="Q3" i="25"/>
  <c r="B9" i="7"/>
  <c r="B69" i="7"/>
  <c r="P3" i="25" s="1"/>
  <c r="A3" i="25"/>
  <c r="A4" i="25"/>
  <c r="A2" i="25"/>
  <c r="A87" i="24"/>
  <c r="C85" i="6"/>
  <c r="Q77" i="24" s="1"/>
  <c r="C93" i="6"/>
  <c r="C103" i="6"/>
  <c r="Q95" i="24"/>
  <c r="C113" i="6"/>
  <c r="Q105" i="24" s="1"/>
  <c r="C123" i="6"/>
  <c r="Q115" i="24" s="1"/>
  <c r="C133" i="6"/>
  <c r="Q125" i="24"/>
  <c r="C146" i="6"/>
  <c r="C150" i="6"/>
  <c r="Q142" i="24" s="1"/>
  <c r="D85" i="6"/>
  <c r="D93" i="6"/>
  <c r="D103" i="6"/>
  <c r="D113" i="6"/>
  <c r="R105" i="24" s="1"/>
  <c r="D123" i="6"/>
  <c r="D133" i="6"/>
  <c r="R125" i="24" s="1"/>
  <c r="D146" i="6"/>
  <c r="R138" i="24" s="1"/>
  <c r="D150" i="6"/>
  <c r="R142" i="24" s="1"/>
  <c r="E85" i="6"/>
  <c r="E93" i="6"/>
  <c r="E103" i="6"/>
  <c r="S95" i="24" s="1"/>
  <c r="E113" i="6"/>
  <c r="S105" i="24" s="1"/>
  <c r="E123" i="6"/>
  <c r="S115" i="24" s="1"/>
  <c r="E133" i="6"/>
  <c r="S125" i="24"/>
  <c r="E146" i="6"/>
  <c r="E150" i="6"/>
  <c r="S142" i="24" s="1"/>
  <c r="F85" i="6"/>
  <c r="F93" i="6"/>
  <c r="T85" i="24" s="1"/>
  <c r="F103" i="6"/>
  <c r="F113" i="6"/>
  <c r="T105" i="24" s="1"/>
  <c r="F123" i="6"/>
  <c r="F133" i="6"/>
  <c r="F146" i="6"/>
  <c r="F150" i="6"/>
  <c r="T142" i="24"/>
  <c r="G93" i="6"/>
  <c r="G103" i="6"/>
  <c r="U95" i="24" s="1"/>
  <c r="G123" i="6"/>
  <c r="U115" i="24" s="1"/>
  <c r="G133" i="6"/>
  <c r="U125" i="24" s="1"/>
  <c r="G146" i="6"/>
  <c r="G150" i="6"/>
  <c r="U142" i="24" s="1"/>
  <c r="R77" i="24"/>
  <c r="S77" i="24"/>
  <c r="T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R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R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Q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/>
  <c r="C18" i="6"/>
  <c r="Q11" i="24" s="1"/>
  <c r="C28" i="6"/>
  <c r="Q21" i="24" s="1"/>
  <c r="C38" i="6"/>
  <c r="Q31" i="24" s="1"/>
  <c r="C48" i="6"/>
  <c r="Q41" i="24" s="1"/>
  <c r="C58" i="6"/>
  <c r="C71" i="6"/>
  <c r="Q64" i="24"/>
  <c r="C75" i="6"/>
  <c r="D10" i="6"/>
  <c r="D18" i="6"/>
  <c r="D28" i="6"/>
  <c r="R21" i="24" s="1"/>
  <c r="D38" i="6"/>
  <c r="R31" i="24" s="1"/>
  <c r="D48" i="6"/>
  <c r="D58" i="6"/>
  <c r="R51" i="24" s="1"/>
  <c r="D71" i="6"/>
  <c r="R64" i="24" s="1"/>
  <c r="D75" i="6"/>
  <c r="R68" i="24" s="1"/>
  <c r="E10" i="6"/>
  <c r="S3" i="24" s="1"/>
  <c r="E18" i="6"/>
  <c r="S11" i="24" s="1"/>
  <c r="E28" i="6"/>
  <c r="S21" i="24"/>
  <c r="E38" i="6"/>
  <c r="E48" i="6"/>
  <c r="S41" i="24" s="1"/>
  <c r="E58" i="6"/>
  <c r="E71" i="6"/>
  <c r="E75" i="6"/>
  <c r="F10" i="6"/>
  <c r="F18" i="6"/>
  <c r="F28" i="6"/>
  <c r="F38" i="6"/>
  <c r="F48" i="6"/>
  <c r="F58" i="6"/>
  <c r="T51" i="24"/>
  <c r="F71" i="6"/>
  <c r="F75" i="6"/>
  <c r="T68" i="24"/>
  <c r="G28" i="6"/>
  <c r="U21" i="24" s="1"/>
  <c r="G48" i="6"/>
  <c r="U41" i="24" s="1"/>
  <c r="G58" i="6"/>
  <c r="G75" i="6"/>
  <c r="U68" i="24" s="1"/>
  <c r="B85" i="6"/>
  <c r="B93" i="6"/>
  <c r="B103" i="6"/>
  <c r="P95" i="24" s="1"/>
  <c r="B113" i="6"/>
  <c r="P105" i="24" s="1"/>
  <c r="B123" i="6"/>
  <c r="B133" i="6"/>
  <c r="B146" i="6"/>
  <c r="P138" i="24" s="1"/>
  <c r="B150" i="6"/>
  <c r="P142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R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S31" i="24"/>
  <c r="T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R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S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S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6" i="20"/>
  <c r="U8" i="20"/>
  <c r="U9" i="20"/>
  <c r="U11" i="20"/>
  <c r="U13" i="20"/>
  <c r="U14" i="20"/>
  <c r="U15" i="20"/>
  <c r="U17" i="20"/>
  <c r="U19" i="20"/>
  <c r="U21" i="20"/>
  <c r="U23" i="20"/>
  <c r="U24" i="20"/>
  <c r="U25" i="20"/>
  <c r="U26" i="20"/>
  <c r="U27" i="20"/>
  <c r="U28" i="20"/>
  <c r="U29" i="20"/>
  <c r="U30" i="20"/>
  <c r="U32" i="20"/>
  <c r="U33" i="20"/>
  <c r="G46" i="5"/>
  <c r="U38" i="20" s="1"/>
  <c r="G47" i="5"/>
  <c r="U39" i="20" s="1"/>
  <c r="G48" i="5"/>
  <c r="U40" i="20" s="1"/>
  <c r="G49" i="5"/>
  <c r="G50" i="5"/>
  <c r="G51" i="5"/>
  <c r="U43" i="20" s="1"/>
  <c r="G52" i="5"/>
  <c r="G53" i="5"/>
  <c r="U41" i="20"/>
  <c r="U42" i="20"/>
  <c r="U44" i="20"/>
  <c r="U45" i="20"/>
  <c r="G55" i="5"/>
  <c r="G54" i="5" s="1"/>
  <c r="U46" i="20" s="1"/>
  <c r="G56" i="5"/>
  <c r="G57" i="5"/>
  <c r="U49" i="20" s="1"/>
  <c r="G58" i="5"/>
  <c r="U50" i="20" s="1"/>
  <c r="U48" i="20"/>
  <c r="G60" i="5"/>
  <c r="U52" i="20" s="1"/>
  <c r="G61" i="5"/>
  <c r="U53" i="20" s="1"/>
  <c r="G62" i="5"/>
  <c r="U54" i="20" s="1"/>
  <c r="G63" i="5"/>
  <c r="U55" i="20" s="1"/>
  <c r="G68" i="5"/>
  <c r="U58" i="20" s="1"/>
  <c r="G73" i="5"/>
  <c r="G75" i="5" s="1"/>
  <c r="U62" i="20" s="1"/>
  <c r="G74" i="5"/>
  <c r="U60" i="20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D35" i="5"/>
  <c r="D37" i="5"/>
  <c r="R31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R29" i="20"/>
  <c r="S29" i="20"/>
  <c r="T29" i="20"/>
  <c r="Q30" i="20"/>
  <c r="R30" i="20"/>
  <c r="S30" i="20"/>
  <c r="T30" i="20"/>
  <c r="C37" i="5"/>
  <c r="Q31" i="20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D45" i="5"/>
  <c r="D65" i="5" s="1"/>
  <c r="R56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C59" i="5"/>
  <c r="Q46" i="20"/>
  <c r="D54" i="5"/>
  <c r="R46" i="20"/>
  <c r="E54" i="5"/>
  <c r="S46" i="20"/>
  <c r="F54" i="5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Q57" i="20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 s="1"/>
  <c r="P60" i="20"/>
  <c r="P58" i="20"/>
  <c r="B67" i="5"/>
  <c r="P57" i="20" s="1"/>
  <c r="B45" i="5"/>
  <c r="B54" i="5"/>
  <c r="B59" i="5"/>
  <c r="P51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/>
  <c r="E18" i="23"/>
  <c r="J6" i="3"/>
  <c r="D18" i="23"/>
  <c r="I6" i="3"/>
  <c r="F6" i="1"/>
  <c r="E6" i="1"/>
  <c r="F5" i="13"/>
  <c r="E5" i="13"/>
  <c r="D5" i="13"/>
  <c r="C5" i="13"/>
  <c r="B5" i="13"/>
  <c r="E5" i="12"/>
  <c r="D5" i="12"/>
  <c r="C5" i="12"/>
  <c r="B5" i="12"/>
  <c r="I25" i="23"/>
  <c r="D23" i="23"/>
  <c r="B6" i="11"/>
  <c r="I23" i="23"/>
  <c r="G6" i="11"/>
  <c r="H23" i="23"/>
  <c r="F6" i="11"/>
  <c r="G23" i="23"/>
  <c r="E6" i="11"/>
  <c r="F23" i="23"/>
  <c r="D6" i="10"/>
  <c r="D6" i="11"/>
  <c r="E23" i="23"/>
  <c r="G6" i="10"/>
  <c r="F6" i="10"/>
  <c r="E6" i="10"/>
  <c r="B6" i="10"/>
  <c r="G5" i="13"/>
  <c r="G5" i="12"/>
  <c r="C11" i="23"/>
  <c r="A2" i="12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/>
  <c r="G14" i="3"/>
  <c r="E14" i="3"/>
  <c r="S4" i="17" s="1"/>
  <c r="E8" i="3"/>
  <c r="K9" i="3"/>
  <c r="K10" i="3"/>
  <c r="K11" i="3"/>
  <c r="K12" i="3"/>
  <c r="J8" i="3"/>
  <c r="J20" i="3" s="1"/>
  <c r="X5" i="17" s="1"/>
  <c r="H8" i="3"/>
  <c r="G8" i="3"/>
  <c r="F41" i="2"/>
  <c r="E41" i="2"/>
  <c r="S17" i="16" s="1"/>
  <c r="D41" i="2"/>
  <c r="R17" i="16" s="1"/>
  <c r="C41" i="2"/>
  <c r="H27" i="2"/>
  <c r="V15" i="16"/>
  <c r="G27" i="2"/>
  <c r="U15" i="16"/>
  <c r="F27" i="2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B64" i="4"/>
  <c r="P33" i="18" s="1"/>
  <c r="B63" i="4"/>
  <c r="B72" i="4"/>
  <c r="P38" i="18" s="1"/>
  <c r="B55" i="4"/>
  <c r="B53" i="4"/>
  <c r="P30" i="18" s="1"/>
  <c r="B49" i="4"/>
  <c r="B48" i="4"/>
  <c r="B57" i="4" s="1"/>
  <c r="B59" i="4" s="1"/>
  <c r="P26" i="18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Q87" i="15"/>
  <c r="F42" i="1"/>
  <c r="Q91" i="15" s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F79" i="1"/>
  <c r="Q119" i="15"/>
  <c r="Q117" i="15"/>
  <c r="Q118" i="15"/>
  <c r="E9" i="1"/>
  <c r="P57" i="15"/>
  <c r="E19" i="1"/>
  <c r="P67" i="15" s="1"/>
  <c r="E23" i="1"/>
  <c r="P71" i="15"/>
  <c r="E27" i="1"/>
  <c r="E31" i="1"/>
  <c r="P80" i="15" s="1"/>
  <c r="E38" i="1"/>
  <c r="P87" i="15" s="1"/>
  <c r="E42" i="1"/>
  <c r="P91" i="15"/>
  <c r="E57" i="1"/>
  <c r="P103" i="15"/>
  <c r="E63" i="1"/>
  <c r="P106" i="15" s="1"/>
  <c r="E68" i="1"/>
  <c r="P110" i="15" s="1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Q12" i="15"/>
  <c r="Q20" i="15"/>
  <c r="C60" i="1"/>
  <c r="Q53" i="15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C68" i="4"/>
  <c r="Q36" i="18" s="1"/>
  <c r="D68" i="4"/>
  <c r="R36" i="18" s="1"/>
  <c r="C64" i="4"/>
  <c r="D64" i="4"/>
  <c r="R33" i="18" s="1"/>
  <c r="C63" i="4"/>
  <c r="Q32" i="18" s="1"/>
  <c r="D63" i="4"/>
  <c r="R32" i="18" s="1"/>
  <c r="C48" i="4"/>
  <c r="Q26" i="18" s="1"/>
  <c r="C55" i="4"/>
  <c r="D55" i="4"/>
  <c r="R31" i="18" s="1"/>
  <c r="C53" i="4"/>
  <c r="D53" i="4"/>
  <c r="R30" i="18"/>
  <c r="D48" i="4"/>
  <c r="C49" i="4"/>
  <c r="D49" i="4"/>
  <c r="R27" i="18"/>
  <c r="C29" i="4"/>
  <c r="Q15" i="18" s="1"/>
  <c r="D29" i="4"/>
  <c r="R15" i="18" s="1"/>
  <c r="C40" i="4"/>
  <c r="C37" i="4"/>
  <c r="C44" i="4" s="1"/>
  <c r="D40" i="4"/>
  <c r="R22" i="18" s="1"/>
  <c r="D37" i="4"/>
  <c r="C17" i="4"/>
  <c r="Q9" i="18" s="1"/>
  <c r="C13" i="4"/>
  <c r="Q6" i="18"/>
  <c r="D13" i="4"/>
  <c r="R6" i="18" s="1"/>
  <c r="U4" i="17"/>
  <c r="X3" i="17"/>
  <c r="Q17" i="16"/>
  <c r="T17" i="16"/>
  <c r="T15" i="16"/>
  <c r="Q8" i="16"/>
  <c r="R8" i="16"/>
  <c r="S8" i="16"/>
  <c r="T8" i="16"/>
  <c r="U8" i="16"/>
  <c r="V8" i="16"/>
  <c r="P8" i="16"/>
  <c r="C9" i="2"/>
  <c r="C8" i="2" s="1"/>
  <c r="D9" i="2"/>
  <c r="R4" i="16"/>
  <c r="E9" i="2"/>
  <c r="S4" i="16"/>
  <c r="F9" i="2"/>
  <c r="T4" i="16"/>
  <c r="G9" i="2"/>
  <c r="U4" i="16"/>
  <c r="H9" i="2"/>
  <c r="V4" i="16"/>
  <c r="B9" i="2"/>
  <c r="Q30" i="18"/>
  <c r="Q22" i="18"/>
  <c r="Q27" i="18"/>
  <c r="R26" i="18"/>
  <c r="Q31" i="18"/>
  <c r="R37" i="18"/>
  <c r="Q33" i="18"/>
  <c r="G8" i="2"/>
  <c r="G20" i="2"/>
  <c r="U13" i="16"/>
  <c r="E8" i="2"/>
  <c r="S3" i="16"/>
  <c r="D8" i="2"/>
  <c r="D20" i="2"/>
  <c r="R13" i="16" s="1"/>
  <c r="F8" i="2"/>
  <c r="T3" i="16" s="1"/>
  <c r="Q67" i="15"/>
  <c r="P2" i="25"/>
  <c r="Q2" i="25"/>
  <c r="A2" i="8"/>
  <c r="A2" i="3"/>
  <c r="A2" i="9"/>
  <c r="A2" i="7"/>
  <c r="A2" i="2"/>
  <c r="A2" i="6"/>
  <c r="A2" i="5"/>
  <c r="A2" i="1"/>
  <c r="A2" i="4"/>
  <c r="A2" i="10"/>
  <c r="A2" i="14"/>
  <c r="A2" i="13"/>
  <c r="A2" i="11"/>
  <c r="R2" i="25"/>
  <c r="T2" i="25"/>
  <c r="S2" i="25"/>
  <c r="I20" i="3"/>
  <c r="W5" i="17" s="1"/>
  <c r="K8" i="3"/>
  <c r="Y3" i="17" s="1"/>
  <c r="U3" i="16"/>
  <c r="E47" i="1"/>
  <c r="E59" i="1" s="1"/>
  <c r="Q116" i="15"/>
  <c r="B44" i="4"/>
  <c r="P19" i="18"/>
  <c r="E20" i="3"/>
  <c r="S5" i="17" s="1"/>
  <c r="S3" i="17"/>
  <c r="T46" i="20"/>
  <c r="F65" i="5"/>
  <c r="T56" i="20" s="1"/>
  <c r="H20" i="3"/>
  <c r="V5" i="17"/>
  <c r="V3" i="17"/>
  <c r="H8" i="2"/>
  <c r="V3" i="16" s="1"/>
  <c r="K14" i="3"/>
  <c r="Y4" i="17"/>
  <c r="P4" i="16"/>
  <c r="B8" i="2"/>
  <c r="R3" i="16"/>
  <c r="B74" i="4"/>
  <c r="P39" i="18" s="1"/>
  <c r="E20" i="2"/>
  <c r="S13" i="16"/>
  <c r="B41" i="5"/>
  <c r="P32" i="18"/>
  <c r="G67" i="5"/>
  <c r="U57" i="20" s="1"/>
  <c r="G59" i="5"/>
  <c r="U51" i="20"/>
  <c r="E9" i="6"/>
  <c r="S2" i="24" s="1"/>
  <c r="D9" i="6"/>
  <c r="F84" i="6"/>
  <c r="T76" i="24" s="1"/>
  <c r="B9" i="8"/>
  <c r="R45" i="26"/>
  <c r="E43" i="8"/>
  <c r="S45" i="26"/>
  <c r="Q12" i="26"/>
  <c r="F9" i="6"/>
  <c r="F159" i="6" s="1"/>
  <c r="T150" i="24" s="1"/>
  <c r="E84" i="6"/>
  <c r="S76" i="24" s="1"/>
  <c r="S85" i="24"/>
  <c r="S3" i="25"/>
  <c r="E130" i="7"/>
  <c r="S4" i="25" s="1"/>
  <c r="D9" i="8"/>
  <c r="R2" i="26"/>
  <c r="R12" i="26"/>
  <c r="G16" i="5"/>
  <c r="U10" i="20" s="1"/>
  <c r="C41" i="5"/>
  <c r="Q34" i="20" s="1"/>
  <c r="D77" i="8"/>
  <c r="R68" i="26" s="1"/>
  <c r="C9" i="9"/>
  <c r="Q5" i="27"/>
  <c r="T2" i="28"/>
  <c r="F32" i="10"/>
  <c r="T23" i="28"/>
  <c r="E29" i="13"/>
  <c r="S22" i="31"/>
  <c r="S2" i="31"/>
  <c r="E41" i="5"/>
  <c r="T11" i="24"/>
  <c r="C9" i="6"/>
  <c r="R85" i="24"/>
  <c r="U85" i="24"/>
  <c r="Q85" i="24"/>
  <c r="C130" i="7"/>
  <c r="Q4" i="25"/>
  <c r="P12" i="26"/>
  <c r="P13" i="27"/>
  <c r="B31" i="12"/>
  <c r="P23" i="30"/>
  <c r="P2" i="30"/>
  <c r="F9" i="8"/>
  <c r="T2" i="26" s="1"/>
  <c r="T12" i="26"/>
  <c r="B30" i="11"/>
  <c r="P22" i="29"/>
  <c r="P2" i="29"/>
  <c r="R15" i="30"/>
  <c r="D31" i="12"/>
  <c r="R23" i="30"/>
  <c r="Q12" i="31"/>
  <c r="C29" i="13"/>
  <c r="Q22" i="31" s="1"/>
  <c r="G19" i="8"/>
  <c r="U12" i="26" s="1"/>
  <c r="E9" i="11"/>
  <c r="R3" i="29"/>
  <c r="C43" i="8"/>
  <c r="T5" i="27"/>
  <c r="D9" i="9"/>
  <c r="R2" i="27"/>
  <c r="P15" i="28"/>
  <c r="B32" i="10"/>
  <c r="P23" i="28" s="1"/>
  <c r="G32" i="10"/>
  <c r="U23" i="28" s="1"/>
  <c r="U12" i="31"/>
  <c r="G29" i="13"/>
  <c r="U22" i="31"/>
  <c r="B9" i="6"/>
  <c r="G24" i="9"/>
  <c r="U16" i="27" s="1"/>
  <c r="U18" i="27"/>
  <c r="E9" i="9"/>
  <c r="S2" i="27" s="1"/>
  <c r="F31" i="12"/>
  <c r="T23" i="30" s="1"/>
  <c r="T2" i="30"/>
  <c r="S21" i="30"/>
  <c r="E31" i="12"/>
  <c r="S23" i="30" s="1"/>
  <c r="G10" i="8"/>
  <c r="U3" i="26" s="1"/>
  <c r="G44" i="8"/>
  <c r="F12" i="11"/>
  <c r="G12" i="11" s="1"/>
  <c r="U6" i="29" s="1"/>
  <c r="S6" i="29"/>
  <c r="D19" i="11"/>
  <c r="R12" i="29" s="1"/>
  <c r="R18" i="29"/>
  <c r="E25" i="11"/>
  <c r="E19" i="11" s="1"/>
  <c r="S12" i="29" s="1"/>
  <c r="K20" i="3"/>
  <c r="Y5" i="17" s="1"/>
  <c r="D33" i="9"/>
  <c r="R24" i="27" s="1"/>
  <c r="Q2" i="24"/>
  <c r="S35" i="26"/>
  <c r="H20" i="2"/>
  <c r="V13" i="16"/>
  <c r="Q2" i="27"/>
  <c r="C33" i="9"/>
  <c r="Q24" i="27" s="1"/>
  <c r="R2" i="24"/>
  <c r="C20" i="2"/>
  <c r="Q13" i="16" s="1"/>
  <c r="Q3" i="16"/>
  <c r="P3" i="16"/>
  <c r="B20" i="2"/>
  <c r="P13" i="16" s="1"/>
  <c r="F25" i="11"/>
  <c r="S18" i="29"/>
  <c r="Q35" i="26"/>
  <c r="E33" i="9"/>
  <c r="S24" i="27" s="1"/>
  <c r="E159" i="6"/>
  <c r="S150" i="24" s="1"/>
  <c r="U36" i="26"/>
  <c r="P2" i="24"/>
  <c r="F9" i="11"/>
  <c r="T3" i="29" s="1"/>
  <c r="S34" i="20"/>
  <c r="P2" i="26"/>
  <c r="B11" i="4"/>
  <c r="P25" i="18"/>
  <c r="G9" i="11"/>
  <c r="U3" i="29" s="1"/>
  <c r="G25" i="11"/>
  <c r="F19" i="11"/>
  <c r="T12" i="29" s="1"/>
  <c r="T18" i="29"/>
  <c r="P5" i="18"/>
  <c r="B8" i="4"/>
  <c r="B21" i="4"/>
  <c r="B23" i="4" s="1"/>
  <c r="P2" i="18"/>
  <c r="U18" i="29"/>
  <c r="G19" i="11"/>
  <c r="U12" i="29"/>
  <c r="P13" i="18" l="1"/>
  <c r="B25" i="4"/>
  <c r="P104" i="15"/>
  <c r="Q25" i="18"/>
  <c r="C11" i="4"/>
  <c r="B65" i="5"/>
  <c r="P56" i="20" s="1"/>
  <c r="P37" i="20"/>
  <c r="G21" i="9"/>
  <c r="P34" i="20"/>
  <c r="C84" i="6"/>
  <c r="E65" i="5"/>
  <c r="Q37" i="20"/>
  <c r="C65" i="5"/>
  <c r="Q56" i="20" s="1"/>
  <c r="T10" i="20"/>
  <c r="F41" i="5"/>
  <c r="D22" i="10"/>
  <c r="R20" i="28"/>
  <c r="B47" i="1"/>
  <c r="P4" i="15"/>
  <c r="P12" i="18"/>
  <c r="G20" i="3"/>
  <c r="U5" i="17" s="1"/>
  <c r="U3" i="17"/>
  <c r="R10" i="20"/>
  <c r="D41" i="5"/>
  <c r="U47" i="20"/>
  <c r="Q15" i="28"/>
  <c r="C32" i="10"/>
  <c r="Q23" i="28" s="1"/>
  <c r="P95" i="15"/>
  <c r="T2" i="24"/>
  <c r="G41" i="5"/>
  <c r="C70" i="5"/>
  <c r="D84" i="6"/>
  <c r="D57" i="4"/>
  <c r="D59" i="4" s="1"/>
  <c r="Q19" i="18"/>
  <c r="F47" i="1"/>
  <c r="S3" i="29"/>
  <c r="T6" i="29"/>
  <c r="G45" i="5"/>
  <c r="F20" i="2"/>
  <c r="T13" i="16" s="1"/>
  <c r="D72" i="4"/>
  <c r="C72" i="4"/>
  <c r="S14" i="16"/>
  <c r="T36" i="26"/>
  <c r="F43" i="8"/>
  <c r="G10" i="6"/>
  <c r="U6" i="24"/>
  <c r="G137" i="6"/>
  <c r="U129" i="24" s="1"/>
  <c r="U132" i="24"/>
  <c r="B84" i="6"/>
  <c r="Q4" i="16"/>
  <c r="E79" i="1"/>
  <c r="P119" i="15" s="1"/>
  <c r="C57" i="4"/>
  <c r="C59" i="4" s="1"/>
  <c r="R19" i="18"/>
  <c r="D44" i="4"/>
  <c r="C6" i="11"/>
  <c r="C6" i="10"/>
  <c r="R37" i="20"/>
  <c r="B43" i="8"/>
  <c r="E9" i="8"/>
  <c r="S3" i="26"/>
  <c r="Q3" i="26"/>
  <c r="C9" i="8"/>
  <c r="P9" i="27"/>
  <c r="B9" i="9"/>
  <c r="U10" i="27"/>
  <c r="G16" i="9"/>
  <c r="G62" i="6"/>
  <c r="U55" i="24" s="1"/>
  <c r="E11" i="11"/>
  <c r="U33" i="26"/>
  <c r="G37" i="8"/>
  <c r="U30" i="26" s="1"/>
  <c r="U47" i="26"/>
  <c r="G53" i="8"/>
  <c r="G61" i="8"/>
  <c r="U53" i="26" s="1"/>
  <c r="D13" i="11"/>
  <c r="Q7" i="29"/>
  <c r="C47" i="1"/>
  <c r="B130" i="7"/>
  <c r="P4" i="25" s="1"/>
  <c r="S15" i="28"/>
  <c r="E32" i="10"/>
  <c r="S23" i="28" s="1"/>
  <c r="C30" i="11"/>
  <c r="Q22" i="29" s="1"/>
  <c r="Q2" i="29"/>
  <c r="U15" i="30"/>
  <c r="G31" i="12"/>
  <c r="U23" i="30" s="1"/>
  <c r="G18" i="6"/>
  <c r="U11" i="24" s="1"/>
  <c r="G38" i="6"/>
  <c r="U31" i="24" s="1"/>
  <c r="U32" i="24"/>
  <c r="G71" i="6"/>
  <c r="U64" i="24" s="1"/>
  <c r="U66" i="24"/>
  <c r="G113" i="6"/>
  <c r="G9" i="7"/>
  <c r="U22" i="26"/>
  <c r="G27" i="8"/>
  <c r="E10" i="11"/>
  <c r="R4" i="29"/>
  <c r="Q20" i="27"/>
  <c r="F9" i="9"/>
  <c r="G84" i="6" l="1"/>
  <c r="U76" i="24" s="1"/>
  <c r="U105" i="24"/>
  <c r="P76" i="24"/>
  <c r="B159" i="6"/>
  <c r="P150" i="24" s="1"/>
  <c r="C74" i="4"/>
  <c r="Q39" i="18" s="1"/>
  <c r="Q38" i="18"/>
  <c r="T2" i="27"/>
  <c r="F33" i="9"/>
  <c r="T24" i="27" s="1"/>
  <c r="U20" i="26"/>
  <c r="G9" i="8"/>
  <c r="U2" i="26" s="1"/>
  <c r="C62" i="1"/>
  <c r="Q54" i="15" s="1"/>
  <c r="Q42" i="15"/>
  <c r="G43" i="8"/>
  <c r="U45" i="26"/>
  <c r="S5" i="29"/>
  <c r="F11" i="11"/>
  <c r="P2" i="27"/>
  <c r="B33" i="9"/>
  <c r="P24" i="27" s="1"/>
  <c r="T35" i="26"/>
  <c r="F77" i="8"/>
  <c r="T68" i="26" s="1"/>
  <c r="D74" i="4"/>
  <c r="R39" i="18" s="1"/>
  <c r="R38" i="18"/>
  <c r="R76" i="24"/>
  <c r="D159" i="6"/>
  <c r="R150" i="24" s="1"/>
  <c r="R34" i="20"/>
  <c r="D70" i="5"/>
  <c r="R15" i="28"/>
  <c r="D32" i="10"/>
  <c r="R23" i="28" s="1"/>
  <c r="U13" i="27"/>
  <c r="C8" i="4"/>
  <c r="Q5" i="18"/>
  <c r="B70" i="5"/>
  <c r="S2" i="26"/>
  <c r="E77" i="8"/>
  <c r="S68" i="26" s="1"/>
  <c r="Q95" i="15"/>
  <c r="F59" i="1"/>
  <c r="T34" i="20"/>
  <c r="F70" i="5"/>
  <c r="S56" i="20"/>
  <c r="E70" i="5"/>
  <c r="G130" i="7"/>
  <c r="U4" i="25" s="1"/>
  <c r="U2" i="25"/>
  <c r="E13" i="11"/>
  <c r="R7" i="29"/>
  <c r="D8" i="11"/>
  <c r="U9" i="27"/>
  <c r="G9" i="9"/>
  <c r="U2" i="27" s="1"/>
  <c r="Q2" i="26"/>
  <c r="C77" i="8"/>
  <c r="Q68" i="26" s="1"/>
  <c r="P35" i="26"/>
  <c r="B77" i="8"/>
  <c r="P68" i="26" s="1"/>
  <c r="R25" i="18"/>
  <c r="D11" i="4"/>
  <c r="G65" i="5"/>
  <c r="U56" i="20" s="1"/>
  <c r="U37" i="20"/>
  <c r="G42" i="5"/>
  <c r="U35" i="20" s="1"/>
  <c r="U34" i="20"/>
  <c r="B62" i="1"/>
  <c r="P54" i="15" s="1"/>
  <c r="P42" i="15"/>
  <c r="Q76" i="24"/>
  <c r="C159" i="6"/>
  <c r="Q150" i="24" s="1"/>
  <c r="B33" i="4"/>
  <c r="P18" i="18" s="1"/>
  <c r="P14" i="18"/>
  <c r="F10" i="11"/>
  <c r="S4" i="29"/>
  <c r="U3" i="24"/>
  <c r="G9" i="6"/>
  <c r="E81" i="1"/>
  <c r="P120" i="15" s="1"/>
  <c r="S7" i="29" l="1"/>
  <c r="F13" i="11"/>
  <c r="G11" i="11"/>
  <c r="U5" i="29" s="1"/>
  <c r="T5" i="29"/>
  <c r="E8" i="11"/>
  <c r="Q2" i="18"/>
  <c r="C21" i="4"/>
  <c r="G10" i="11"/>
  <c r="T4" i="29"/>
  <c r="F8" i="11"/>
  <c r="D8" i="4"/>
  <c r="R5" i="18"/>
  <c r="R2" i="29"/>
  <c r="D30" i="11"/>
  <c r="R22" i="29" s="1"/>
  <c r="G33" i="9"/>
  <c r="U24" i="27" s="1"/>
  <c r="G159" i="6"/>
  <c r="U150" i="24" s="1"/>
  <c r="U2" i="24"/>
  <c r="G70" i="5"/>
  <c r="F81" i="1"/>
  <c r="Q120" i="15" s="1"/>
  <c r="Q104" i="15"/>
  <c r="U35" i="26"/>
  <c r="G77" i="8"/>
  <c r="U68" i="26" s="1"/>
  <c r="R2" i="18" l="1"/>
  <c r="D21" i="4"/>
  <c r="S2" i="29"/>
  <c r="E30" i="11"/>
  <c r="S22" i="29" s="1"/>
  <c r="G8" i="11"/>
  <c r="U4" i="29"/>
  <c r="C23" i="4"/>
  <c r="Q12" i="18"/>
  <c r="T2" i="29"/>
  <c r="F30" i="11"/>
  <c r="T22" i="29" s="1"/>
  <c r="G13" i="11"/>
  <c r="U7" i="29" s="1"/>
  <c r="T7" i="29"/>
  <c r="G30" i="11" l="1"/>
  <c r="U22" i="29" s="1"/>
  <c r="U2" i="29"/>
  <c r="C25" i="4"/>
  <c r="Q13" i="18"/>
  <c r="R12" i="18"/>
  <c r="D23" i="4"/>
  <c r="Q14" i="18" l="1"/>
  <c r="C33" i="4"/>
  <c r="Q18" i="18" s="1"/>
  <c r="D25" i="4"/>
  <c r="R13" i="18"/>
  <c r="D33" i="4" l="1"/>
  <c r="R18" i="18" s="1"/>
  <c r="R14" i="18"/>
</calcChain>
</file>

<file path=xl/sharedStrings.xml><?xml version="1.0" encoding="utf-8"?>
<sst xmlns="http://schemas.openxmlformats.org/spreadsheetml/2006/main" count="4343" uniqueCount="3355">
  <si>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</si>
  <si>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</si>
  <si>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</si>
  <si>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</si>
  <si>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</si>
  <si>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</si>
  <si>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</si>
  <si>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</si>
  <si>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</si>
  <si>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</si>
  <si>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</si>
  <si>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</si>
  <si>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</si>
  <si>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</si>
  <si>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</si>
  <si>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</si>
  <si>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</si>
  <si>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</si>
  <si>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</si>
  <si>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</si>
  <si>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</si>
  <si>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</si>
  <si>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</si>
  <si>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</si>
  <si>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</si>
  <si>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</si>
  <si>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</si>
  <si>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</si>
  <si>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</si>
  <si>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</si>
  <si>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</si>
  <si>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</si>
  <si>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</si>
  <si>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</si>
  <si>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</si>
  <si>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</si>
  <si>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</si>
  <si>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</si>
  <si>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</si>
  <si>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</si>
  <si>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</si>
  <si>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</si>
  <si>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</si>
  <si>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</si>
  <si>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</si>
  <si>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</si>
  <si>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</si>
  <si>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</si>
  <si>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</si>
  <si>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</si>
  <si>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</si>
  <si>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</si>
  <si>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</si>
  <si>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</si>
  <si>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</si>
  <si>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</si>
  <si>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</si>
  <si>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</si>
  <si>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</si>
  <si>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</si>
  <si>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</si>
  <si>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</si>
  <si>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</si>
  <si>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</si>
  <si>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</si>
  <si>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</si>
  <si>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</si>
  <si>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</si>
  <si>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</si>
  <si>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</si>
  <si>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</si>
  <si>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</si>
  <si>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</si>
  <si>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</si>
  <si>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</si>
  <si>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</si>
  <si>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</si>
  <si>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</si>
  <si>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</si>
  <si>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</si>
  <si>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</si>
  <si>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</si>
  <si>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</si>
  <si>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</si>
  <si>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</si>
  <si>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</si>
  <si>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</si>
  <si>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</si>
  <si>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</si>
  <si>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</si>
  <si>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</si>
  <si>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</si>
  <si>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</si>
  <si>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</si>
  <si>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</si>
  <si>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</si>
  <si>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</si>
  <si>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</si>
  <si>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</si>
  <si>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</si>
  <si>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</si>
  <si>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</si>
  <si>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</si>
  <si>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</si>
  <si>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</si>
  <si>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</si>
  <si>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</si>
  <si>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</si>
  <si>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</si>
  <si>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</si>
  <si>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</si>
  <si>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</si>
  <si>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</si>
  <si>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</si>
  <si>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</si>
  <si>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</si>
  <si>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</si>
  <si>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</si>
  <si>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</si>
  <si>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</si>
  <si>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</si>
  <si>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</si>
  <si>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</si>
  <si>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</si>
  <si>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</si>
  <si>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</si>
  <si>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</si>
  <si>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</si>
  <si>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</si>
  <si>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</si>
  <si>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</si>
  <si>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</si>
  <si>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</si>
  <si>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</si>
  <si>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</si>
  <si>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</si>
  <si>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</si>
  <si>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</si>
  <si>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</si>
  <si>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</si>
  <si>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</si>
  <si>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</si>
  <si>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</si>
  <si>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</si>
  <si>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</si>
  <si>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</si>
  <si>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</si>
  <si>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</si>
  <si>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</si>
  <si>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</si>
  <si>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</si>
  <si>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</si>
  <si>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</si>
  <si>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</si>
  <si>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</si>
  <si>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</si>
  <si>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</si>
  <si>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</si>
  <si>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</si>
  <si>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</si>
  <si>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</si>
  <si>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</si>
  <si>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</si>
  <si>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</si>
  <si>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</si>
  <si>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</si>
  <si>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</si>
  <si>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</si>
  <si>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</si>
  <si>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</si>
  <si>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</si>
  <si>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</si>
  <si>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</si>
  <si>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</si>
  <si>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</si>
  <si>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</si>
  <si>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</si>
  <si>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</si>
  <si>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</si>
  <si>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</si>
  <si>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</si>
  <si>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</si>
  <si>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</si>
  <si>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</si>
  <si>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</si>
  <si>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</si>
  <si>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</si>
  <si>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</si>
  <si>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</si>
  <si>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</si>
  <si>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</si>
  <si>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</si>
  <si>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</si>
  <si>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</si>
  <si>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</si>
  <si>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</si>
  <si>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</si>
  <si>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</si>
  <si>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</si>
  <si>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</si>
  <si>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</si>
  <si>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</si>
  <si>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</si>
  <si>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</si>
  <si>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</si>
  <si>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</si>
  <si>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</si>
  <si>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</si>
  <si>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</si>
  <si>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</si>
  <si>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</si>
  <si>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</si>
  <si>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</si>
  <si>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</si>
  <si>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</si>
  <si>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</si>
  <si>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</si>
  <si>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</si>
  <si>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</si>
  <si>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</si>
  <si>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</si>
  <si>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</si>
  <si>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</si>
  <si>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</si>
  <si>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</si>
  <si>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</si>
  <si>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</si>
  <si>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</si>
  <si>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</si>
  <si>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</si>
  <si>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</si>
  <si>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</si>
  <si>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</si>
  <si>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</si>
  <si>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</si>
  <si>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</si>
  <si>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</si>
  <si>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</si>
  <si>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</si>
  <si>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</si>
  <si>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</si>
  <si>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</si>
  <si>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</si>
  <si>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</si>
  <si>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</si>
  <si>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</si>
  <si>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</si>
  <si>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</si>
  <si>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</si>
  <si>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</si>
  <si>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</si>
  <si>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</si>
  <si>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</si>
  <si>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</si>
  <si>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</si>
  <si>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</si>
  <si>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</si>
  <si>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</si>
  <si>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</si>
  <si>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</si>
  <si>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</si>
  <si>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</si>
  <si>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</si>
  <si>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</si>
  <si>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</si>
  <si>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</si>
  <si>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</si>
  <si>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</si>
  <si>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</si>
  <si>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</si>
  <si>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</si>
  <si>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</si>
  <si>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</si>
  <si>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</si>
  <si>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</si>
  <si>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</si>
  <si>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</si>
  <si>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</si>
  <si>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</si>
  <si>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</si>
  <si>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</si>
  <si>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</si>
  <si>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</si>
  <si>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</si>
  <si>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</si>
  <si>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</si>
  <si>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</si>
  <si>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</si>
  <si>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</si>
  <si>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</si>
  <si>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</si>
  <si>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</si>
  <si>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</si>
  <si>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</si>
  <si>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</si>
  <si>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</si>
  <si>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</si>
  <si>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</si>
  <si>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</si>
  <si>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</si>
  <si>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</si>
  <si>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</si>
  <si>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</si>
  <si>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</si>
  <si>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</si>
  <si>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</si>
  <si>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</si>
  <si>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</si>
  <si>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</si>
  <si>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</si>
  <si>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</si>
  <si>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</si>
  <si>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</si>
  <si>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</si>
  <si>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</si>
  <si>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</si>
  <si>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</si>
  <si>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</si>
  <si>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</si>
  <si>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</si>
  <si>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</si>
  <si>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</si>
  <si>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</si>
  <si>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</si>
  <si>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</si>
  <si>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</si>
  <si>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</si>
  <si>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</si>
  <si>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</si>
  <si>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</si>
  <si>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</si>
  <si>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</si>
  <si>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</si>
  <si>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</si>
  <si>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</si>
  <si>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</si>
  <si>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</si>
  <si>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</si>
  <si>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</si>
  <si>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</si>
  <si>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</si>
  <si>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</si>
  <si>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</si>
  <si>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</si>
  <si>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</si>
  <si>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</si>
  <si>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</si>
  <si>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</si>
  <si>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</si>
  <si>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</si>
  <si>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</si>
  <si>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</si>
  <si>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</si>
  <si>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</si>
  <si>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</si>
  <si>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</si>
  <si>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</si>
  <si>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</si>
  <si>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</si>
  <si>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</si>
  <si>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</si>
  <si>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</si>
  <si>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</si>
  <si>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</si>
  <si>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</si>
  <si>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</si>
  <si>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</si>
  <si>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</si>
  <si>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</si>
  <si>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</si>
  <si>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</si>
  <si>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</si>
  <si>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</si>
  <si>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</si>
  <si>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</si>
  <si>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</si>
  <si>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</si>
  <si>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</si>
  <si>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</si>
  <si>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</si>
  <si>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</si>
  <si>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</si>
  <si>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</si>
  <si>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</si>
  <si>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</si>
  <si>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</si>
  <si>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</si>
  <si>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</si>
  <si>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</si>
  <si>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</si>
  <si>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</si>
  <si>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</si>
  <si>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</si>
  <si>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</si>
  <si>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</si>
  <si>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</si>
  <si>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</si>
  <si>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</si>
  <si>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</si>
  <si>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</si>
  <si>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</si>
  <si>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</si>
  <si>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</si>
  <si>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</si>
  <si>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</si>
  <si>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</si>
  <si>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</si>
  <si>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</si>
  <si>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</si>
  <si>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</si>
  <si>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</si>
  <si>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</si>
  <si>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</si>
  <si>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</si>
  <si>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</si>
  <si>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</si>
  <si>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</si>
  <si>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</si>
  <si>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</si>
  <si>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</si>
  <si>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</si>
  <si>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</si>
  <si>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</si>
  <si>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</si>
  <si>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</si>
  <si>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</si>
  <si>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</si>
  <si>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</si>
  <si>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</si>
  <si>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</si>
  <si>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</si>
  <si>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</si>
  <si>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</si>
  <si>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</si>
  <si>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</si>
  <si>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</si>
  <si>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</si>
  <si>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</si>
  <si>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</si>
  <si>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</si>
  <si>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</si>
  <si>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</si>
  <si>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</si>
  <si>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</si>
  <si>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</si>
  <si>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</si>
  <si>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</si>
  <si>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</si>
  <si>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</si>
  <si>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</si>
  <si>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</si>
  <si>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</si>
  <si>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</si>
  <si>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</si>
  <si>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</si>
  <si>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</si>
  <si>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</si>
  <si>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</si>
  <si>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</si>
  <si>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</si>
  <si>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</si>
  <si>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</si>
  <si>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</si>
  <si>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</si>
  <si>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</si>
  <si>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</si>
  <si>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</si>
  <si>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</si>
  <si>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</si>
  <si>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</si>
  <si>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</si>
  <si>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</si>
  <si>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</si>
  <si>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</si>
  <si>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</si>
  <si>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</si>
  <si>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</si>
  <si>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</si>
  <si>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</si>
  <si>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</si>
  <si>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</si>
  <si>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</si>
  <si>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</si>
  <si>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</si>
  <si>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</si>
  <si>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</si>
  <si>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</si>
  <si>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</si>
  <si>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</si>
  <si>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</si>
  <si>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</si>
  <si>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</si>
  <si>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</si>
  <si>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</si>
  <si>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</si>
  <si>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</si>
  <si>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</si>
  <si>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</si>
  <si>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</si>
  <si>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</si>
  <si>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</si>
  <si>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</si>
  <si>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</si>
  <si>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</si>
  <si>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</si>
  <si>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</si>
  <si>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</si>
  <si>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</si>
  <si>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</si>
  <si>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</si>
  <si>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</si>
  <si>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</si>
  <si>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</si>
  <si>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</si>
  <si>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</si>
  <si>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</si>
  <si>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</si>
  <si>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</si>
  <si>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</si>
  <si>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</si>
  <si>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</si>
  <si>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</si>
  <si>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</si>
  <si>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</si>
  <si>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</si>
  <si>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</si>
  <si>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</si>
  <si>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</si>
  <si>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</si>
  <si>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</si>
  <si>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</si>
  <si>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</si>
  <si>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</si>
  <si>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</si>
  <si>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</si>
  <si>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</si>
  <si>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</si>
  <si>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</si>
  <si>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</si>
  <si>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</si>
  <si>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</si>
  <si>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</si>
  <si>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</si>
  <si>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</si>
  <si>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</si>
  <si>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</si>
  <si>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</si>
  <si>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</si>
  <si>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</si>
  <si>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</si>
  <si>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</si>
  <si>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</si>
  <si>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</si>
  <si>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</si>
  <si>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</si>
  <si>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</si>
  <si>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</si>
  <si>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</si>
  <si>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</si>
  <si>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</si>
  <si>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</si>
  <si>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</si>
  <si>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</si>
  <si>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</si>
  <si>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</si>
  <si>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</si>
  <si>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</si>
  <si>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</si>
  <si>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</si>
  <si>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</si>
  <si>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</si>
  <si>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</si>
  <si>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</si>
  <si>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</si>
  <si>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</si>
  <si>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</si>
  <si>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</si>
  <si>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</si>
  <si>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</si>
  <si>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</si>
  <si>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</si>
  <si>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</si>
  <si>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</si>
  <si>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</si>
  <si>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</si>
  <si>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</si>
  <si>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</si>
  <si>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</si>
  <si>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</si>
  <si>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</si>
  <si>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</si>
  <si>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</si>
  <si>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</si>
  <si>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</si>
  <si>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</si>
  <si>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</si>
  <si>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</si>
  <si>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</si>
  <si>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</si>
  <si>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</si>
  <si>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</si>
  <si>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</si>
  <si>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</si>
  <si>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</si>
  <si>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</si>
  <si>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</si>
  <si>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</si>
  <si>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</si>
  <si>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</si>
  <si>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</si>
  <si>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</si>
  <si>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</si>
  <si>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</si>
  <si>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</si>
  <si>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</si>
  <si>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</si>
  <si>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</si>
  <si>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</si>
  <si>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</si>
  <si>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</si>
  <si>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</si>
  <si>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</si>
  <si>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</si>
  <si>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</si>
  <si>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</si>
  <si>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</si>
  <si>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</si>
  <si>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</si>
  <si>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</si>
  <si>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</si>
  <si>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</si>
  <si>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</si>
  <si>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</si>
  <si>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</si>
  <si>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</si>
  <si>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</si>
  <si>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</si>
  <si>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</si>
  <si>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</si>
  <si>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</si>
  <si>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</si>
  <si>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</si>
  <si>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</si>
  <si>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</si>
  <si>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</si>
  <si>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</si>
  <si>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</si>
  <si>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</si>
  <si>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</si>
  <si>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</si>
  <si>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</si>
  <si>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</si>
  <si>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</si>
  <si>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</si>
  <si>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</si>
  <si>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</si>
  <si>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</si>
  <si>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</si>
  <si>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</si>
  <si>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</si>
  <si>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</si>
  <si>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</si>
  <si>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</si>
  <si>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</si>
  <si>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</si>
  <si>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</si>
  <si>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</si>
  <si>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</si>
  <si>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</si>
  <si>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</si>
  <si>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</si>
  <si>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</si>
  <si>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</si>
  <si>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</si>
  <si>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</si>
  <si>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</si>
  <si>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</si>
  <si>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</si>
  <si>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</si>
  <si>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</si>
  <si>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</si>
  <si>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</si>
  <si>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</si>
  <si>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</si>
  <si>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</si>
  <si>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</si>
  <si>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</si>
  <si>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</si>
  <si>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</si>
  <si>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</si>
  <si>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</si>
  <si>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</si>
  <si>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</si>
  <si>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</si>
  <si>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</si>
  <si>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</si>
  <si>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</si>
  <si>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</si>
  <si>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</si>
  <si>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</si>
  <si>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</si>
  <si>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</si>
  <si>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</si>
  <si>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</si>
  <si>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</si>
  <si>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</si>
  <si>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</si>
  <si>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</si>
  <si>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</si>
  <si>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</si>
  <si>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</si>
  <si>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</si>
  <si>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</si>
  <si>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</si>
  <si>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</si>
  <si>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</si>
  <si>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</si>
  <si>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</si>
  <si>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</si>
  <si>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</si>
  <si>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</si>
  <si>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</si>
  <si>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</si>
  <si>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</si>
  <si>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</si>
  <si>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</si>
  <si>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</si>
  <si>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</si>
  <si>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</si>
  <si>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</si>
  <si>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</si>
  <si>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</si>
  <si>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</si>
  <si>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</si>
  <si>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</si>
  <si>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</si>
  <si>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</si>
  <si>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</si>
  <si>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</si>
  <si>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</si>
  <si>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</si>
  <si>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</si>
  <si>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</si>
  <si>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</si>
  <si>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</si>
  <si>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</si>
  <si>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</si>
  <si>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</si>
  <si>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</si>
  <si>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</si>
  <si>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</si>
  <si>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</si>
  <si>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</si>
  <si>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</si>
  <si>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</si>
  <si>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</si>
  <si>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</si>
  <si>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</si>
  <si>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</si>
  <si>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</si>
  <si>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</si>
  <si>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</si>
  <si>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</si>
  <si>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</si>
  <si>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</si>
  <si>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</si>
  <si>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</si>
  <si>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</si>
  <si>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</si>
  <si>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</si>
  <si>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</si>
  <si>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</si>
  <si>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</si>
  <si>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</si>
  <si>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</si>
  <si>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</si>
  <si>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</si>
  <si>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</si>
  <si>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</si>
  <si>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</si>
  <si>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</si>
  <si>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</si>
  <si>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</si>
  <si>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</si>
  <si>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</si>
  <si>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</si>
  <si>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</si>
  <si>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</si>
  <si>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</si>
  <si>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</si>
  <si>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</si>
  <si>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</si>
  <si>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</si>
  <si>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</si>
  <si>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</si>
  <si>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</si>
  <si>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</si>
  <si>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</si>
  <si>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</si>
  <si>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</si>
  <si>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</si>
  <si>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</si>
  <si>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</si>
  <si>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</si>
  <si>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</si>
  <si>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</si>
  <si>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</si>
  <si>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</si>
  <si>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</si>
  <si>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</si>
  <si>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</si>
  <si>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</si>
  <si>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</si>
  <si>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</si>
  <si>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</si>
  <si>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</si>
  <si>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</si>
  <si>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</si>
  <si>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</si>
  <si>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</si>
  <si>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</si>
  <si>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</si>
  <si>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</si>
  <si>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</si>
  <si>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</si>
  <si>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</si>
  <si>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</si>
  <si>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</si>
  <si>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</si>
  <si>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</si>
  <si>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</si>
  <si>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</si>
  <si>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</si>
  <si>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</si>
  <si>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</si>
  <si>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</si>
  <si>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</si>
  <si>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</si>
  <si>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</si>
  <si>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</si>
  <si>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</si>
  <si>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</si>
  <si>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</si>
  <si>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</si>
  <si>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</si>
  <si>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</si>
  <si>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</si>
  <si>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</si>
  <si>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</si>
  <si>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</si>
  <si>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</si>
  <si>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</si>
  <si>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</si>
  <si>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</si>
  <si>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</si>
  <si>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</si>
  <si>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</si>
  <si>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</si>
  <si>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</si>
  <si>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</si>
  <si>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</si>
  <si>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</si>
  <si>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</si>
  <si>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</si>
  <si>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</si>
  <si>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</si>
  <si>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</si>
  <si>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</si>
  <si>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</si>
  <si>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</si>
  <si>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</si>
  <si>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</si>
  <si>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</si>
  <si>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</si>
  <si>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</si>
  <si>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</si>
  <si>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</si>
  <si>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</si>
  <si>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</si>
  <si>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</si>
  <si>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</si>
  <si>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</si>
  <si>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</si>
  <si>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</si>
  <si>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</si>
  <si>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</si>
  <si>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</si>
  <si>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</si>
  <si>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</si>
  <si>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</si>
  <si>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</si>
  <si>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</si>
  <si>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</si>
  <si>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</si>
  <si>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</si>
  <si>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</si>
  <si>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</si>
  <si>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</si>
  <si>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</si>
  <si>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</si>
  <si>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</si>
  <si>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</si>
  <si>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</si>
  <si>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</si>
  <si>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</si>
  <si>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</si>
  <si>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</si>
  <si>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</si>
  <si>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</si>
  <si>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</si>
  <si>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</si>
  <si>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</si>
  <si>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</si>
  <si>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</si>
  <si>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</si>
  <si>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</si>
  <si>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</si>
  <si>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</si>
  <si>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</si>
  <si>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</si>
  <si>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</si>
  <si>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</si>
  <si>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</si>
  <si>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</si>
  <si>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</si>
  <si>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</si>
  <si>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</si>
  <si>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</si>
  <si>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</si>
  <si>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</si>
  <si>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</si>
  <si>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</si>
  <si>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</si>
  <si>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</si>
  <si>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</si>
  <si>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</si>
  <si>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</si>
  <si>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</si>
  <si>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</si>
  <si>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</si>
  <si>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</si>
  <si>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</si>
  <si>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</si>
  <si>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</si>
  <si>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</si>
  <si>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</si>
  <si>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</si>
  <si>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</si>
  <si>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</si>
  <si>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</si>
  <si>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</si>
  <si>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</si>
  <si>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</si>
  <si>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</si>
  <si>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</si>
  <si>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</si>
  <si>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</si>
  <si>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</si>
  <si>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</si>
  <si>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</si>
  <si>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</si>
  <si>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</si>
  <si>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</si>
  <si>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</si>
  <si>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</si>
  <si>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</si>
  <si>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</si>
  <si>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</si>
  <si>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</si>
  <si>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</si>
  <si>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</si>
  <si>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</si>
  <si>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</si>
  <si>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</si>
  <si>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</si>
  <si>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</si>
  <si>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</si>
  <si>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</si>
  <si>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</si>
  <si>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</si>
  <si>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</si>
  <si>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</si>
  <si>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</si>
  <si>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</si>
  <si>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</si>
  <si>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</si>
  <si>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</si>
  <si>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</si>
  <si>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</si>
  <si>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</si>
  <si>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</si>
  <si>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</si>
  <si>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</si>
  <si>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</si>
  <si>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</si>
  <si>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</si>
  <si>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</si>
  <si>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</si>
  <si>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</si>
  <si>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</si>
  <si>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</si>
  <si>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</si>
  <si>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</si>
  <si>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</si>
  <si>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</si>
  <si>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</si>
  <si>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</si>
  <si>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</si>
  <si>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</si>
  <si>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</si>
  <si>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</si>
  <si>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</si>
  <si>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</si>
  <si>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</si>
  <si>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</si>
  <si>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</si>
  <si>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</si>
  <si>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</si>
  <si>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</si>
  <si>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</si>
  <si>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</si>
  <si>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</si>
  <si>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</si>
  <si>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</si>
  <si>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</si>
  <si>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</si>
  <si>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</si>
  <si>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</si>
  <si>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</si>
  <si>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</si>
  <si>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</si>
  <si>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</si>
  <si>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</si>
  <si>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</si>
  <si>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</si>
  <si>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</si>
  <si>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</si>
  <si>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</si>
  <si>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</si>
  <si>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</si>
  <si>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</si>
  <si>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</si>
  <si>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</si>
  <si>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</si>
  <si>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</si>
  <si>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</si>
  <si>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</si>
  <si>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</si>
  <si>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</si>
  <si>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</si>
  <si>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</si>
  <si>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</si>
  <si>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</si>
  <si>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</si>
  <si>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</si>
  <si>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</si>
  <si>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</si>
  <si>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</si>
  <si>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</si>
  <si>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</si>
  <si>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</si>
  <si>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</si>
  <si>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</si>
  <si>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</si>
  <si>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</si>
  <si>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</si>
  <si>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</si>
  <si>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</si>
  <si>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</si>
  <si>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</si>
  <si>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</si>
  <si>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</si>
  <si>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</si>
  <si>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</si>
  <si>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</si>
  <si>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</si>
  <si>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</si>
  <si>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</si>
  <si>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</si>
  <si>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</si>
  <si>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</si>
  <si>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</si>
  <si>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</si>
  <si>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</si>
  <si>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</si>
  <si>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</si>
  <si>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</si>
  <si>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</si>
  <si>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</si>
  <si>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</si>
  <si>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</si>
  <si>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</si>
  <si>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</si>
  <si>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</si>
  <si>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</si>
  <si>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</si>
  <si>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</si>
  <si>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</si>
  <si>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</si>
  <si>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</si>
  <si>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</si>
  <si>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</si>
  <si>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</si>
  <si>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</si>
  <si>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</si>
  <si>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</si>
  <si>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</si>
  <si>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</si>
  <si>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</si>
  <si>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</si>
  <si>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</si>
  <si>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</si>
  <si>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</si>
  <si>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</si>
  <si>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</si>
  <si>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</si>
  <si>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</si>
  <si>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</si>
  <si>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</si>
  <si>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</si>
  <si>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</si>
  <si>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</si>
  <si>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</si>
  <si>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</si>
  <si>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</si>
  <si>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</si>
  <si>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</si>
  <si>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</si>
  <si>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</si>
  <si>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</si>
  <si>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</si>
  <si>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</si>
  <si>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</si>
  <si>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</si>
  <si>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</si>
  <si>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</si>
  <si>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</si>
  <si>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</si>
  <si>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</si>
  <si>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</si>
  <si>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</si>
  <si>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</si>
  <si>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</si>
  <si>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</si>
  <si>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</si>
  <si>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</si>
  <si>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</si>
  <si>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</si>
  <si>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</si>
  <si>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</si>
  <si>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</si>
  <si>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</si>
  <si>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</si>
  <si>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</si>
  <si>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</si>
  <si>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</si>
  <si>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</si>
  <si>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</si>
  <si>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</si>
  <si>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</si>
  <si>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</si>
  <si>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</si>
  <si>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</si>
  <si>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</si>
  <si>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</si>
  <si>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</si>
  <si>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</si>
  <si>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</si>
  <si>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</si>
  <si>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</si>
  <si>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</si>
  <si>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</si>
  <si>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</si>
  <si>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</si>
  <si>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</si>
  <si>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</si>
  <si>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</si>
  <si>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</si>
  <si>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</si>
  <si>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</si>
  <si>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</si>
  <si>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</si>
  <si>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</si>
  <si>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</si>
  <si>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</si>
  <si>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</si>
  <si>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</si>
  <si>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</si>
  <si>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</si>
  <si>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</si>
  <si>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</si>
  <si>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</si>
  <si>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</si>
  <si>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</si>
  <si>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</si>
  <si>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</si>
  <si>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</si>
  <si>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</si>
  <si>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</si>
  <si>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</si>
  <si>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</si>
  <si>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</si>
  <si>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</si>
  <si>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</si>
  <si>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</si>
  <si>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</si>
  <si>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</si>
  <si>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</si>
  <si>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</si>
  <si>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</si>
  <si>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</si>
  <si>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</si>
  <si>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</si>
  <si>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</si>
  <si>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</si>
  <si>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</si>
  <si>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</si>
  <si>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</si>
  <si>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</si>
  <si>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</si>
  <si>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</si>
  <si>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</si>
  <si>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</si>
  <si>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</si>
  <si>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</si>
  <si>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</si>
  <si>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</si>
  <si>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</si>
  <si>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</si>
  <si>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</si>
  <si>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</si>
  <si>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</si>
  <si>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</si>
  <si>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</si>
  <si>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</si>
  <si>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</si>
  <si>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</si>
  <si>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</si>
  <si>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</si>
  <si>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</si>
  <si>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</si>
  <si>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</si>
  <si>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</si>
  <si>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</si>
  <si>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</si>
  <si>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</si>
  <si>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</si>
  <si>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</si>
  <si>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</si>
  <si>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</si>
  <si>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</si>
  <si>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</si>
  <si>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</si>
  <si>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</si>
  <si>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</si>
  <si>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</si>
  <si>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</si>
  <si>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</si>
  <si>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</si>
  <si>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</si>
  <si>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</si>
  <si>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</si>
  <si>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</si>
  <si>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</si>
  <si>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</si>
  <si>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</si>
  <si>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</si>
  <si>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</si>
  <si>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</si>
  <si>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</si>
  <si>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</si>
  <si>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</si>
  <si>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</si>
  <si>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</si>
  <si>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</si>
  <si>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</si>
  <si>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</si>
  <si>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</si>
  <si>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</si>
  <si>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</si>
  <si>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</si>
  <si>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</si>
  <si>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</si>
  <si>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</si>
  <si>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</si>
  <si>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</si>
  <si>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</si>
  <si>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</si>
  <si>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</si>
  <si>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</si>
  <si>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</si>
  <si>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</si>
  <si>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</si>
  <si>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</si>
  <si>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</si>
  <si>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</si>
  <si>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</si>
  <si>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</si>
  <si>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</si>
  <si>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</si>
  <si>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</si>
  <si>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</si>
  <si>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</si>
  <si>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</si>
  <si>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</si>
  <si>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</si>
  <si>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</si>
  <si>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</si>
  <si>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</si>
  <si>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</si>
  <si>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</si>
  <si>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</si>
  <si>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</si>
  <si>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</si>
  <si>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</si>
  <si>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</si>
  <si>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</si>
  <si>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</si>
  <si>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</si>
  <si>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</si>
  <si>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</si>
  <si>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</si>
  <si>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</si>
  <si>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</si>
  <si>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</si>
  <si>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</si>
  <si>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</si>
  <si>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</si>
  <si>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</si>
  <si>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</si>
  <si>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</si>
  <si>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</si>
  <si>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</si>
  <si>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</si>
  <si>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</si>
  <si>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</si>
  <si>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</si>
  <si>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</si>
  <si>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</si>
  <si>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</si>
  <si>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</si>
  <si>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</si>
  <si>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</si>
  <si>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</si>
  <si>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</si>
  <si>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</si>
  <si>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</si>
  <si>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</si>
  <si>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</si>
  <si>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</si>
  <si>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</si>
  <si>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</si>
  <si>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</si>
  <si>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</si>
  <si>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</si>
  <si>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</si>
  <si>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</si>
  <si>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</si>
  <si>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</si>
  <si>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</si>
  <si>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</si>
  <si>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</si>
  <si>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</si>
  <si>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</si>
  <si>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</si>
  <si>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</si>
  <si>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</si>
  <si>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</si>
  <si>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</si>
  <si>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</si>
  <si>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</si>
  <si>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</si>
  <si>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</si>
  <si>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</si>
  <si>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</si>
  <si>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</si>
  <si>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</si>
  <si>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</si>
  <si>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</si>
  <si>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</si>
  <si>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</si>
  <si>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</si>
  <si>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</si>
  <si>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</si>
  <si>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</si>
  <si>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</si>
  <si>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</si>
  <si>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</si>
  <si>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</si>
  <si>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</si>
  <si>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</si>
  <si>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</si>
  <si>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</si>
  <si>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</si>
  <si>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</si>
  <si>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</si>
  <si>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</si>
  <si>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</si>
  <si>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</si>
  <si>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</si>
  <si>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</si>
  <si>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</si>
  <si>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</si>
  <si>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</si>
  <si>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</si>
  <si>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</si>
  <si>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</si>
  <si>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</si>
  <si>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</si>
  <si>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</si>
  <si>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</si>
  <si>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</si>
  <si>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</si>
  <si>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</si>
  <si>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</si>
  <si>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</si>
  <si>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</si>
  <si>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</si>
  <si>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</si>
  <si>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</si>
  <si>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</si>
  <si>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</si>
  <si>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</si>
  <si>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</si>
  <si>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</si>
  <si>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</si>
  <si>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</si>
  <si>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</si>
  <si>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</si>
  <si>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</si>
  <si>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</si>
  <si>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</si>
  <si>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</si>
  <si>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</si>
  <si>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</si>
  <si>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</si>
  <si>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</si>
  <si>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</si>
  <si>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</si>
  <si>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</si>
  <si>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</si>
  <si>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</si>
  <si>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</si>
  <si>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</si>
  <si>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</si>
  <si>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</si>
  <si>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</si>
  <si>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</si>
  <si>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</si>
  <si>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</si>
  <si>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</si>
  <si>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</si>
  <si>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</si>
  <si>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</si>
  <si>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</si>
  <si>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</si>
  <si>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</si>
  <si>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</si>
  <si>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</si>
  <si>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</si>
  <si>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</si>
  <si>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</si>
  <si>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</si>
  <si>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</si>
  <si>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</si>
  <si>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</si>
  <si>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</si>
  <si>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</si>
  <si>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</si>
  <si>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</si>
  <si>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</si>
  <si>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</si>
  <si>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</si>
  <si>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</si>
  <si>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</si>
  <si>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</si>
  <si>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</si>
  <si>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</si>
  <si>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</si>
  <si>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</si>
  <si>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</si>
  <si>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</si>
  <si>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</si>
  <si>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</si>
  <si>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</si>
  <si>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</si>
  <si>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</si>
  <si>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</si>
  <si>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</si>
  <si>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</si>
  <si>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</si>
  <si>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</si>
  <si>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</si>
  <si>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</si>
  <si>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</si>
  <si>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</si>
  <si>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</si>
  <si>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</si>
  <si>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</si>
  <si>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</si>
  <si>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</si>
  <si>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</si>
  <si>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</si>
  <si>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</si>
  <si>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</si>
  <si>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</si>
  <si>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</si>
  <si>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</si>
  <si>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</si>
  <si>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</si>
  <si>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</si>
  <si>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</si>
  <si>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</si>
  <si>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</si>
  <si>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</si>
  <si>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</si>
  <si>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</si>
  <si>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</si>
  <si>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</si>
  <si>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</si>
  <si>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</si>
  <si>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</si>
  <si>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</si>
  <si>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</si>
  <si>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</si>
  <si>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</si>
  <si>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</si>
  <si>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</si>
  <si>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</si>
  <si>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</si>
  <si>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</si>
  <si>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</si>
  <si>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</si>
  <si>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</si>
  <si>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</si>
  <si>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</si>
  <si>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</si>
  <si>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</si>
  <si>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</si>
  <si>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</si>
  <si>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</si>
  <si>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</si>
  <si>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</si>
  <si>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</si>
  <si>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</si>
  <si>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</si>
  <si>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</si>
  <si>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</si>
  <si>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</si>
  <si>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</si>
  <si>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</si>
  <si>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</si>
  <si>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</si>
  <si>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</si>
  <si>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</si>
  <si>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</si>
  <si>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</si>
  <si>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</si>
  <si>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</si>
  <si>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</si>
  <si>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</si>
  <si>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</si>
  <si>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</si>
  <si>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</si>
  <si>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</si>
  <si>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</si>
  <si>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</si>
  <si>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</si>
  <si>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</si>
  <si>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</si>
  <si>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</si>
  <si>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</si>
  <si>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</si>
  <si>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</si>
  <si>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</si>
  <si>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</si>
  <si>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</si>
  <si>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</si>
  <si>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</si>
  <si>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</si>
  <si>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</si>
  <si>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</si>
  <si>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</si>
  <si>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</si>
  <si>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</si>
  <si>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</si>
  <si>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</si>
  <si>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</si>
  <si>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</si>
  <si>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</si>
  <si>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</si>
  <si>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</si>
  <si>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</si>
  <si>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</si>
  <si>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</si>
  <si>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</si>
  <si>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</si>
  <si>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</si>
  <si>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</si>
  <si>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</si>
  <si>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</si>
  <si>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</si>
  <si>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</si>
  <si>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</si>
  <si>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</si>
  <si>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</si>
  <si>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</si>
  <si>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</si>
  <si>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</si>
  <si>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</si>
  <si>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</si>
  <si>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</si>
  <si>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</si>
  <si>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</si>
  <si>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</si>
  <si>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</si>
  <si>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</si>
  <si>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</si>
  <si>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</si>
  <si>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</si>
  <si>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</si>
  <si>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</si>
  <si>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</si>
  <si>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</si>
  <si>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</si>
  <si>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</si>
  <si>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</si>
  <si>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</si>
  <si>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</si>
  <si>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</si>
  <si>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</si>
  <si>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</si>
  <si>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</si>
  <si>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</si>
  <si>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</si>
  <si>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</si>
  <si>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</si>
  <si>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</si>
  <si>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</si>
  <si>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</si>
  <si>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</si>
  <si>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</si>
  <si>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</si>
  <si>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</si>
  <si>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</si>
  <si>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</si>
  <si>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</si>
  <si>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</si>
  <si>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</si>
  <si>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</si>
  <si>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</si>
  <si>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</si>
  <si>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</si>
  <si>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</si>
  <si>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</si>
  <si>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</si>
  <si>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</si>
  <si>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</si>
  <si>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</si>
  <si>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</si>
  <si>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</si>
  <si>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</si>
  <si>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</si>
  <si>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</si>
  <si>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</si>
  <si>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</si>
  <si>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</si>
  <si>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</si>
  <si>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</si>
  <si>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</si>
  <si>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</si>
  <si>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</si>
  <si>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</si>
  <si>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</si>
  <si>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</si>
  <si>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</si>
  <si>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</si>
  <si>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</si>
  <si>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</si>
  <si>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</si>
  <si>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</si>
  <si>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</si>
  <si>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</si>
  <si>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</si>
  <si>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</si>
  <si>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</si>
  <si>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</si>
  <si>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</si>
  <si>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</si>
  <si>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</si>
  <si>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</si>
  <si>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</si>
  <si>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</si>
  <si>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</si>
  <si>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</si>
  <si>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</si>
  <si>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</si>
  <si>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</si>
  <si>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</si>
  <si>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</si>
  <si>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</si>
  <si>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</si>
  <si>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</si>
  <si>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</si>
  <si>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</si>
  <si>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</si>
  <si>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</si>
  <si>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</si>
  <si>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</si>
  <si>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</si>
  <si>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</si>
  <si>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</si>
  <si>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</si>
  <si>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</si>
  <si>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</si>
  <si>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</si>
  <si>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</si>
  <si>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</si>
  <si>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</si>
  <si>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</si>
  <si>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</si>
  <si>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</si>
  <si>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</si>
  <si>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</si>
  <si>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</si>
  <si>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</si>
  <si>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</si>
  <si>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</si>
  <si>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</si>
  <si>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</si>
  <si>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</si>
  <si>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</si>
  <si>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</si>
  <si>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</si>
  <si>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</si>
  <si>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</si>
  <si>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</si>
  <si>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</si>
  <si>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</si>
  <si>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</si>
  <si>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</si>
  <si>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</si>
  <si>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</si>
  <si>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</si>
  <si>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</si>
  <si>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</si>
  <si>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</si>
  <si>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</si>
  <si>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</si>
  <si>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</si>
  <si>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</si>
  <si>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</si>
  <si>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</si>
  <si>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</si>
  <si>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</si>
  <si>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</si>
  <si>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</si>
  <si>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</si>
  <si>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</si>
  <si>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</si>
  <si>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</si>
  <si>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</si>
  <si>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</si>
  <si>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</si>
  <si>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</si>
  <si>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</si>
  <si>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</si>
  <si>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</si>
  <si>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</si>
  <si>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</si>
  <si>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</si>
  <si>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</si>
  <si>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</si>
  <si>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</si>
  <si>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</si>
  <si>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</si>
  <si>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</si>
  <si>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</si>
  <si>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</si>
  <si>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</si>
  <si>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</si>
  <si>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</si>
  <si>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</si>
  <si>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</si>
  <si>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</si>
  <si>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</si>
  <si>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</si>
  <si>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</si>
  <si>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</si>
  <si>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</si>
  <si>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</si>
  <si>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</si>
  <si>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</si>
  <si>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</si>
  <si>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</si>
  <si>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</si>
  <si>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</si>
  <si>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</si>
  <si>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</si>
  <si>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</si>
  <si>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</si>
  <si>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</si>
  <si>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</si>
  <si>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</si>
  <si>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</si>
  <si>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</si>
  <si>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</si>
  <si>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</si>
  <si>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</si>
  <si>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</si>
  <si>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</si>
  <si>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</si>
  <si>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</si>
  <si>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</si>
  <si>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</si>
  <si>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</si>
  <si>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</si>
  <si>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</si>
  <si>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</si>
  <si>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</si>
  <si>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</si>
  <si>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</si>
  <si>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</si>
  <si>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</si>
  <si>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</si>
  <si>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</si>
  <si>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</si>
  <si>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</si>
  <si>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</si>
  <si>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</si>
  <si>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</si>
  <si>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</si>
  <si>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</si>
  <si>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</si>
  <si>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</si>
  <si>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</si>
  <si>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</si>
  <si>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</si>
  <si>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</si>
  <si>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</si>
  <si>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</si>
  <si>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</si>
  <si>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</si>
  <si>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</si>
  <si>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</si>
  <si>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</si>
  <si>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</si>
  <si>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</si>
  <si>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</si>
  <si>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</si>
  <si>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</si>
  <si>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</si>
  <si>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</si>
  <si>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</si>
  <si>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</si>
  <si>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</si>
  <si>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</si>
  <si>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</si>
  <si>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</si>
  <si>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</si>
  <si>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</si>
  <si>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</si>
  <si>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</si>
  <si>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</si>
  <si>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</si>
  <si>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</si>
  <si>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</si>
  <si>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</si>
  <si>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</si>
  <si>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</si>
  <si>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</si>
  <si>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</si>
  <si>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</si>
  <si>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</si>
  <si>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</si>
  <si>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</si>
  <si>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</si>
  <si>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</si>
  <si>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</si>
  <si>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</si>
  <si>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</si>
  <si>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</si>
  <si>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</si>
  <si>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</si>
  <si>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</si>
  <si>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</si>
  <si>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</si>
  <si>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</si>
  <si>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</si>
  <si>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</si>
  <si>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</si>
  <si>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</si>
  <si>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</si>
  <si>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</si>
  <si>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</si>
  <si>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</si>
  <si>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</si>
  <si>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</si>
  <si>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</si>
  <si>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</si>
  <si>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</si>
  <si>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</si>
  <si>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</si>
  <si>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</si>
  <si>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</si>
  <si>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</si>
  <si>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</si>
  <si>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</si>
  <si>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</si>
  <si>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</si>
  <si>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</si>
  <si>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</si>
  <si>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</si>
  <si>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</si>
  <si>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</si>
  <si>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</si>
  <si>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</si>
  <si>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</si>
  <si>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</si>
  <si>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</si>
  <si>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</si>
  <si>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</si>
  <si>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</si>
  <si>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</si>
  <si>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</si>
  <si>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</si>
  <si>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</si>
  <si>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</si>
  <si>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</si>
  <si>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</si>
  <si>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</si>
  <si>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</si>
  <si>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</si>
  <si>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</si>
  <si>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</si>
  <si>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</si>
  <si>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</si>
  <si>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</si>
  <si>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</si>
  <si>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</si>
  <si>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</si>
  <si>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</si>
  <si>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</si>
  <si>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</si>
  <si>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</si>
  <si>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</si>
  <si>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</si>
  <si>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</si>
  <si>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</si>
  <si>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</si>
  <si>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</si>
  <si>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</si>
  <si>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</si>
  <si>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</si>
  <si>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</si>
  <si>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</si>
  <si>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</si>
  <si>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</si>
  <si>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</si>
  <si>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</si>
  <si>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</si>
  <si>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</si>
  <si>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</si>
  <si>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</si>
  <si>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</si>
  <si>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</si>
  <si>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</si>
  <si>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</si>
  <si>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</si>
  <si>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</si>
  <si>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</si>
  <si>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</si>
  <si>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</si>
  <si>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</si>
  <si>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</si>
  <si>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</si>
  <si>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</si>
  <si>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</si>
  <si>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</si>
  <si>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</si>
  <si>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</si>
  <si>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</si>
  <si>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</si>
  <si>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</si>
  <si>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</si>
  <si>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</si>
  <si>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</si>
  <si>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</si>
  <si>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</si>
  <si>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</si>
  <si>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</si>
  <si>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</si>
  <si>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</si>
  <si>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</si>
  <si>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</si>
  <si>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</si>
  <si>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</si>
  <si>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</si>
  <si>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</si>
  <si>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</si>
  <si>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</si>
  <si>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</si>
  <si>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</si>
  <si>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</si>
  <si>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</si>
  <si>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</si>
  <si>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</si>
  <si>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</si>
  <si>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</si>
  <si>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</si>
  <si>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</si>
  <si>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</si>
  <si>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</si>
  <si>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</si>
  <si>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</si>
  <si>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</si>
  <si>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</si>
  <si>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</si>
  <si>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</si>
  <si>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</si>
  <si>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</si>
  <si>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</si>
  <si>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</si>
  <si>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</si>
  <si>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</si>
  <si>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</si>
  <si>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</si>
  <si>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</si>
  <si>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</si>
  <si>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</si>
  <si>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</si>
  <si>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</si>
  <si>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</si>
  <si>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</si>
  <si>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</si>
  <si>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</si>
  <si>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</si>
  <si>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</si>
  <si>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</si>
  <si>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</si>
  <si>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</si>
  <si>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</si>
  <si>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</si>
  <si>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</si>
  <si>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</si>
  <si>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</si>
  <si>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</si>
  <si>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</si>
  <si>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</si>
  <si>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</si>
  <si>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</si>
  <si>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</si>
  <si>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</si>
  <si>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</si>
  <si>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</si>
  <si>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</si>
  <si>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</si>
  <si>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</si>
  <si>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</si>
  <si>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</si>
  <si>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</si>
  <si>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</si>
  <si>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</si>
  <si>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</si>
  <si>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</si>
  <si>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</si>
  <si>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</si>
  <si>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</si>
  <si>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</si>
  <si>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</si>
  <si>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</si>
  <si>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</si>
  <si>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</si>
  <si>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</si>
  <si>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</si>
  <si>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</si>
  <si>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</si>
  <si>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</si>
  <si>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</si>
  <si>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</si>
  <si>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</si>
  <si>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</si>
  <si>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</si>
  <si>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</si>
  <si>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</si>
  <si>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</si>
  <si>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</si>
  <si>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</si>
  <si>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</si>
  <si>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</si>
  <si>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</si>
  <si>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</si>
  <si>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</si>
  <si>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</si>
  <si>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</si>
  <si>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</si>
  <si>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</si>
  <si>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</si>
  <si>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</si>
  <si>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</si>
  <si>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</si>
  <si>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</si>
  <si>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</si>
  <si>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</si>
  <si>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</si>
  <si>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</si>
  <si>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</si>
  <si>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</si>
  <si>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</si>
  <si>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</si>
  <si>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</si>
  <si>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</si>
  <si>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</si>
  <si>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</si>
  <si>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</si>
  <si>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</si>
  <si>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</si>
  <si>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</si>
  <si>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</si>
  <si>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</si>
  <si>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</si>
  <si>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</si>
  <si>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</si>
  <si>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</si>
  <si>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</si>
  <si>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</si>
  <si>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</si>
  <si>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</si>
  <si>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</si>
  <si>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</si>
  <si>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</si>
  <si>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</si>
  <si>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</si>
  <si>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</si>
  <si>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</si>
  <si>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</si>
  <si>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</si>
  <si>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</si>
  <si>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</si>
  <si>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</si>
  <si>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</si>
  <si>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</si>
  <si>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</si>
  <si>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</si>
  <si>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</si>
  <si>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</si>
  <si>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</si>
  <si>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</si>
  <si>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</si>
  <si>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</si>
  <si>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</si>
  <si>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</si>
  <si>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</si>
  <si>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</si>
  <si>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</si>
  <si>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</si>
  <si>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</si>
  <si>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</si>
  <si>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</si>
  <si>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</si>
  <si>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</si>
  <si>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</si>
  <si>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</si>
  <si>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</si>
  <si>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</si>
  <si>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</si>
  <si>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</si>
  <si>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</si>
  <si>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</si>
  <si>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</si>
  <si>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</si>
  <si>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</si>
  <si>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</si>
  <si>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</si>
  <si>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</si>
  <si>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</si>
  <si>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</si>
  <si>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</si>
  <si>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</si>
  <si>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</si>
  <si>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</si>
  <si>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</si>
  <si>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</si>
  <si>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</si>
  <si>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</si>
  <si>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</si>
  <si>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</si>
  <si>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</si>
  <si>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</si>
  <si>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</si>
  <si>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</si>
  <si>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</si>
  <si>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</si>
  <si>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</si>
  <si>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</si>
  <si>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</si>
  <si>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</si>
  <si>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</si>
  <si>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</si>
  <si>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</si>
  <si>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</si>
  <si>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</si>
  <si>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</si>
  <si>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</si>
  <si>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</si>
  <si>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</si>
  <si>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</si>
  <si>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</si>
  <si>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</si>
  <si>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</si>
  <si>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</si>
  <si>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</si>
  <si>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</si>
  <si>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</si>
  <si>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</si>
  <si>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</si>
  <si>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</si>
  <si>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</si>
  <si>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</si>
  <si>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</si>
  <si>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</si>
  <si>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</si>
  <si>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</si>
  <si>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</si>
  <si>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</si>
  <si>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</si>
  <si>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</si>
  <si>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</si>
  <si>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</si>
  <si>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</si>
  <si>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</si>
  <si>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</si>
  <si>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</si>
  <si>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</si>
  <si>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</si>
  <si>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</si>
  <si>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</si>
  <si>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</si>
  <si>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</si>
  <si>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</si>
  <si>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</si>
  <si>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</si>
  <si>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</si>
  <si>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</si>
  <si>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</si>
  <si>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</si>
  <si>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</si>
  <si>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</si>
  <si>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</si>
  <si>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</si>
  <si>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</si>
  <si>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</si>
  <si>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</si>
  <si>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</si>
  <si>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</si>
  <si>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</si>
  <si>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</si>
  <si>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</si>
  <si>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</si>
  <si>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</si>
  <si>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</si>
  <si>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</si>
  <si>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</si>
  <si>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</si>
  <si>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</si>
  <si>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</si>
  <si>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</si>
  <si>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</si>
  <si>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</si>
  <si>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</si>
  <si>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</si>
  <si>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</si>
  <si>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</si>
  <si>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</si>
  <si>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</si>
  <si>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</si>
  <si>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</si>
  <si>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</si>
  <si>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</si>
  <si>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</si>
  <si>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</si>
  <si>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</si>
  <si>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</si>
  <si>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</si>
  <si>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</si>
  <si>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</si>
  <si>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</si>
  <si>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</si>
  <si>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</si>
  <si>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</si>
  <si>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</si>
  <si>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</si>
  <si>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</si>
  <si>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</si>
  <si>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</si>
  <si>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</si>
  <si>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</si>
  <si>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</si>
  <si>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</si>
  <si>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</si>
  <si>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</si>
  <si>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</si>
  <si>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</si>
  <si>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</si>
  <si>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</si>
  <si>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</si>
  <si>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</si>
  <si>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</si>
  <si>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</si>
  <si>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</si>
  <si>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</si>
  <si>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</si>
  <si>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</si>
  <si>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</si>
  <si>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</si>
  <si>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</si>
  <si>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</si>
  <si>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</si>
  <si>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</si>
  <si>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</si>
  <si>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</si>
  <si>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</si>
  <si>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</si>
  <si>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</si>
  <si>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</si>
  <si>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</si>
  <si>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</si>
  <si>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</si>
  <si>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</si>
  <si>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</si>
  <si>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</si>
  <si>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</si>
  <si>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</si>
  <si>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</si>
  <si>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</si>
  <si>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</si>
  <si>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</si>
  <si>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</si>
  <si>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</si>
  <si>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</si>
  <si>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</si>
  <si>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</si>
  <si>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</si>
  <si>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</si>
  <si>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</si>
  <si>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</si>
  <si>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</si>
  <si>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</si>
  <si>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</si>
  <si>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</si>
  <si>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</si>
  <si>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</si>
  <si>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</si>
  <si>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</si>
  <si>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</si>
  <si>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</si>
  <si>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</si>
  <si>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</si>
  <si>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</si>
  <si>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</si>
  <si>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</si>
  <si>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</si>
  <si>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</si>
  <si>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</si>
  <si>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</si>
  <si>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</si>
  <si>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</si>
  <si>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</si>
  <si>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</si>
  <si>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</si>
  <si>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</si>
  <si>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</si>
  <si>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</si>
  <si>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</si>
  <si>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</si>
  <si>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</si>
  <si>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</si>
  <si>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</si>
  <si>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</si>
  <si>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</si>
  <si>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</si>
  <si>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</si>
  <si>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</si>
  <si>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</si>
  <si>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</si>
  <si>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</si>
  <si>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</si>
  <si>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</si>
  <si>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</si>
  <si>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</si>
  <si>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</si>
  <si>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</si>
  <si>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</si>
  <si>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</si>
  <si>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</si>
  <si>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</si>
  <si>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</si>
  <si>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</si>
  <si>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</si>
  <si>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</si>
  <si>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</si>
  <si>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</si>
  <si>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</si>
  <si>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</si>
  <si>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</si>
  <si>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</si>
  <si>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</si>
  <si>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</si>
  <si>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</si>
  <si>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</si>
  <si>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</si>
  <si>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</si>
  <si>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</si>
  <si>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</si>
  <si>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</si>
  <si>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</si>
  <si>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</si>
  <si>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</si>
  <si>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</si>
  <si>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</si>
  <si>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</si>
  <si>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</si>
  <si>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</si>
  <si>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</si>
  <si>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</si>
  <si>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</si>
  <si>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</si>
  <si>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</si>
  <si>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</si>
  <si>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</si>
  <si>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</si>
  <si>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</si>
  <si>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</si>
  <si>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</si>
  <si>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</si>
  <si>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</si>
  <si>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</si>
  <si>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</si>
  <si>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</si>
  <si>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</si>
  <si>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</si>
  <si>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</si>
  <si>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</si>
  <si>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</si>
  <si>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</si>
  <si>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</si>
  <si>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</si>
  <si>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</si>
  <si>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</si>
  <si>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</si>
  <si>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</si>
  <si>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</si>
  <si>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</si>
  <si>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</si>
  <si>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</si>
  <si>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</si>
  <si>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</si>
  <si>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</si>
  <si>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</si>
  <si>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</si>
  <si>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</si>
  <si>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</si>
  <si>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</si>
  <si>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</si>
  <si>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</si>
  <si>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</si>
  <si>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</si>
  <si>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</si>
  <si>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</si>
  <si>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</si>
  <si>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</si>
  <si>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</si>
  <si>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</si>
  <si>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</si>
  <si>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</si>
  <si>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</si>
  <si>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</si>
  <si>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</si>
  <si>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</si>
  <si>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</si>
  <si>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</si>
  <si>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</si>
  <si>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</si>
  <si>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</si>
  <si>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</si>
  <si>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</si>
  <si>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</si>
  <si>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</si>
  <si>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</si>
  <si>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</si>
  <si>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</si>
  <si>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</si>
  <si>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</si>
  <si>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</si>
  <si>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</si>
  <si>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</si>
  <si>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</si>
  <si>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</si>
  <si>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</si>
  <si>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</si>
  <si>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</si>
  <si>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</si>
  <si>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</si>
  <si>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</si>
  <si>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</si>
  <si>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</si>
  <si>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</si>
  <si>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</si>
  <si>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</si>
  <si>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</si>
  <si>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</si>
  <si>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</si>
  <si>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</si>
  <si>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</si>
  <si>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</si>
  <si>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</si>
  <si>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</si>
  <si>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</si>
  <si>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</si>
  <si>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</si>
  <si>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</si>
  <si>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</si>
  <si>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</si>
  <si>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</si>
  <si>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</si>
  <si>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</si>
  <si>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</si>
  <si>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</si>
  <si>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</si>
  <si>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</si>
  <si>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</si>
  <si>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</si>
  <si>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</si>
  <si>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</si>
  <si>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</si>
  <si>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</si>
  <si>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</si>
  <si>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</si>
  <si>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</si>
  <si>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</si>
  <si>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</si>
  <si>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</si>
  <si>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</si>
  <si>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</si>
  <si>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</si>
  <si>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</si>
  <si>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</si>
  <si>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</si>
  <si>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</si>
  <si>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</si>
  <si>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</si>
  <si>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</si>
  <si>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</si>
  <si>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</si>
  <si>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</si>
  <si>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</si>
  <si>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</si>
  <si>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</si>
  <si>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</si>
  <si>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</si>
  <si>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</si>
  <si>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</si>
  <si>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</si>
  <si>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</si>
  <si>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</si>
  <si>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</si>
  <si>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</si>
  <si>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</si>
  <si>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</si>
  <si>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</si>
  <si>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</si>
  <si>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</si>
  <si>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</si>
  <si>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</si>
  <si>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</si>
  <si>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</si>
  <si>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</si>
  <si>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</si>
  <si>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</si>
  <si>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</si>
  <si>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</si>
  <si>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</si>
  <si>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</si>
  <si>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</si>
  <si>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</si>
  <si>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</si>
  <si>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</si>
  <si>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</si>
  <si>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</si>
  <si>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</si>
  <si>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</si>
  <si>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</si>
  <si>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</si>
  <si>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</si>
  <si>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</si>
  <si>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</si>
  <si>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</si>
  <si>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</si>
  <si>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</si>
  <si>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</si>
  <si>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</si>
  <si>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</si>
  <si>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</si>
  <si>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</si>
  <si>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</si>
  <si>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</si>
  <si>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</si>
  <si>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</si>
  <si>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</si>
  <si>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</si>
  <si>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</si>
  <si>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</si>
  <si>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</si>
  <si>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</si>
  <si>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</si>
  <si>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</si>
  <si>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</si>
  <si>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</si>
  <si>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</si>
  <si>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</si>
  <si>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</si>
  <si>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</si>
  <si>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</si>
  <si>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</si>
  <si>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</si>
  <si>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</si>
  <si>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</si>
  <si>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</si>
  <si>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</si>
  <si>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</si>
  <si>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</si>
  <si>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</si>
  <si>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</si>
  <si>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</si>
  <si>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</si>
  <si>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</si>
  <si>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</si>
  <si>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</si>
  <si>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</si>
  <si>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</si>
  <si>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</si>
  <si>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</si>
  <si>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</si>
  <si>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</si>
  <si>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</si>
  <si>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</si>
  <si>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</si>
  <si>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</si>
  <si>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</si>
  <si>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</si>
  <si>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</si>
  <si>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</si>
  <si>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</si>
  <si>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</si>
  <si>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</si>
  <si>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</si>
  <si>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</si>
  <si>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</si>
  <si>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</si>
  <si>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</si>
  <si>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</si>
  <si>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</si>
  <si>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</si>
  <si>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</si>
  <si>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</si>
  <si>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</si>
  <si>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</si>
  <si>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</si>
  <si>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</si>
  <si>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</si>
  <si>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</si>
  <si>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</si>
  <si>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</si>
  <si>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</si>
  <si>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</si>
  <si>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</si>
  <si>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</si>
  <si>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</si>
  <si>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</si>
  <si>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</si>
  <si>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</si>
  <si>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</si>
  <si>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</si>
  <si>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</si>
  <si>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</si>
  <si>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</si>
  <si>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</si>
  <si>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</si>
  <si>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</si>
  <si>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</si>
  <si>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</si>
  <si>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</si>
  <si>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</si>
  <si>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</si>
  <si>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</si>
  <si>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</si>
  <si>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</si>
  <si>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</si>
  <si>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</si>
  <si>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</si>
  <si>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</si>
  <si>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</si>
  <si>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</si>
  <si>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</si>
  <si>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</si>
  <si>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</si>
  <si>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</si>
  <si>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</si>
  <si>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</si>
  <si>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</si>
  <si>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</si>
  <si>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</si>
  <si>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</si>
  <si>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</si>
  <si>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</si>
  <si>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</si>
  <si>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</si>
  <si>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</si>
  <si>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</si>
  <si>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</si>
  <si>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</si>
  <si>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</si>
  <si>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</si>
  <si>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</si>
  <si>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</si>
  <si>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</si>
  <si>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</si>
  <si>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</si>
  <si>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</si>
  <si>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</si>
  <si>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</si>
  <si>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</si>
  <si>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</si>
  <si>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</si>
  <si>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</si>
  <si>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</si>
  <si>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</si>
  <si>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</si>
  <si>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</si>
  <si>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</si>
  <si>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</si>
  <si>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</si>
  <si>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</si>
  <si>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</si>
  <si>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</si>
  <si>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</si>
  <si>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</si>
  <si>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</si>
  <si>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</si>
  <si>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</si>
  <si>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</si>
  <si>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</si>
  <si>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</si>
  <si>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</si>
  <si>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</si>
  <si>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</si>
  <si>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</si>
  <si>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</si>
  <si>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</si>
  <si>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</si>
  <si>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</si>
  <si>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</si>
  <si>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</si>
  <si>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</si>
  <si>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</si>
  <si>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</si>
  <si>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</si>
  <si>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</si>
  <si>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</si>
  <si>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</si>
  <si>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</si>
  <si>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</si>
  <si>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</si>
  <si>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</si>
  <si>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</si>
  <si>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</si>
  <si>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</si>
  <si>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</si>
  <si>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</si>
  <si>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</si>
  <si>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</si>
  <si>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</si>
  <si>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</si>
  <si>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</si>
  <si>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</si>
  <si>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</si>
  <si>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</si>
  <si>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</si>
  <si>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</si>
  <si>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</si>
  <si>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</si>
  <si>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</si>
  <si>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</si>
  <si>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</si>
  <si>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</si>
  <si>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</si>
  <si>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</si>
  <si>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</si>
  <si>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</si>
  <si>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</si>
  <si>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</si>
  <si>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</si>
  <si>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</si>
  <si>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</si>
  <si>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</si>
  <si>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</si>
  <si>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</si>
  <si>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</si>
  <si>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</si>
  <si>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</si>
  <si>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</si>
  <si>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</si>
  <si>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</si>
  <si>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</si>
  <si>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</si>
  <si>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</si>
  <si>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</si>
  <si>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</si>
  <si>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</si>
  <si>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</si>
  <si>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</si>
  <si>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</si>
  <si>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</si>
  <si>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</si>
  <si>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</si>
  <si>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</si>
  <si>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</si>
  <si>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</si>
  <si>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</si>
  <si>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</si>
  <si>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</si>
  <si>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</si>
  <si>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</si>
  <si>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</si>
  <si>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</si>
  <si>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</si>
  <si>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</si>
  <si>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</si>
  <si>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</si>
  <si>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</si>
  <si>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</si>
  <si>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</si>
  <si>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</si>
  <si>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</si>
  <si>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</si>
  <si>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</si>
  <si>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</si>
  <si>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</si>
  <si>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</si>
  <si>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</si>
  <si>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</si>
  <si>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</si>
  <si>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</si>
  <si>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</si>
  <si>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</si>
  <si>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</si>
  <si>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</si>
  <si>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</si>
  <si>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</si>
  <si>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</si>
  <si>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</si>
  <si>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</si>
  <si>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</si>
  <si>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</si>
  <si>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</si>
  <si>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</si>
  <si>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</si>
  <si>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</si>
  <si>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</si>
  <si>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</si>
  <si>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</si>
  <si>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</si>
  <si>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</si>
  <si>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</si>
  <si>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</si>
  <si>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</si>
  <si>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</si>
  <si>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</si>
  <si>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</si>
  <si>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</si>
  <si>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</si>
  <si>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</si>
  <si>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</si>
  <si>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</si>
  <si>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</si>
  <si>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</si>
  <si>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</si>
  <si>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</si>
  <si>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</si>
  <si>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</si>
  <si>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</si>
  <si>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</si>
  <si>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</si>
  <si>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</si>
  <si>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</si>
  <si>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</si>
  <si>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</si>
  <si>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</si>
  <si>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</si>
  <si>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</si>
  <si>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</si>
  <si>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</si>
  <si>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</si>
  <si>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</si>
  <si>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</si>
  <si>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</si>
  <si>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</si>
  <si>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</si>
  <si>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</si>
  <si>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</si>
  <si>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</si>
  <si>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</si>
  <si>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</si>
  <si>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</si>
  <si>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</si>
  <si>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</si>
  <si>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</si>
  <si>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</si>
  <si>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</si>
  <si>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</si>
  <si>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</si>
  <si>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</si>
  <si>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</si>
  <si>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</si>
  <si>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</si>
  <si>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</si>
  <si>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</si>
  <si>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</si>
  <si>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</si>
  <si>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</si>
  <si>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</si>
  <si>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</si>
  <si>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</si>
  <si>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</si>
  <si>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</si>
  <si>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</si>
  <si>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</si>
  <si>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</si>
  <si>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</si>
  <si>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</si>
  <si>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</si>
  <si>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</si>
  <si>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</si>
  <si>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</si>
  <si>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</si>
  <si>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</si>
  <si>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</si>
  <si>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</si>
  <si>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</si>
  <si>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</si>
  <si>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</si>
  <si>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</si>
  <si>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</si>
  <si>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</si>
  <si>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</si>
  <si>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</si>
  <si>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</si>
  <si>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</si>
  <si>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</si>
  <si>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</si>
  <si>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</si>
  <si>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</si>
  <si>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</si>
  <si>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</si>
  <si>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</si>
  <si>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</si>
  <si>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</si>
  <si>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</si>
  <si>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</si>
  <si>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</si>
  <si>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</si>
  <si>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</si>
  <si>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</si>
  <si>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</si>
  <si>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</si>
  <si>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</si>
  <si>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</si>
  <si>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</si>
  <si>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</si>
  <si>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</si>
  <si>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</si>
  <si>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</si>
  <si>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</si>
  <si>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</si>
  <si>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</si>
  <si>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</si>
  <si>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</si>
  <si>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</si>
  <si>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</si>
  <si>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</si>
  <si>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</si>
  <si>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</si>
  <si>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</si>
  <si>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</si>
  <si>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</si>
  <si>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</si>
  <si>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</si>
  <si>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</si>
  <si>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</si>
  <si>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</si>
  <si>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</si>
  <si>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</si>
  <si>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</si>
  <si>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</si>
  <si>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</si>
  <si>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</si>
  <si>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</si>
  <si>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</si>
  <si>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</si>
  <si>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</si>
  <si>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</si>
  <si>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</si>
  <si>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</si>
  <si>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</si>
  <si>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</si>
  <si>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</si>
  <si>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</si>
  <si>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</si>
  <si>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</si>
  <si>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</si>
  <si>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</si>
  <si>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</si>
  <si>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</si>
  <si>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</si>
  <si>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</si>
  <si>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</si>
  <si>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</si>
  <si>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</si>
  <si>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</si>
  <si>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</si>
  <si>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</si>
  <si>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</si>
  <si>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</si>
  <si>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</si>
  <si>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</si>
  <si>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</si>
  <si>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</si>
  <si>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</si>
  <si>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</si>
  <si>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</si>
  <si>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</si>
  <si>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</si>
  <si>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</si>
  <si>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</si>
  <si>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</si>
  <si>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</si>
  <si>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</si>
  <si>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</si>
  <si>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</si>
  <si>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</si>
  <si>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</si>
  <si>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</si>
  <si>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</si>
  <si>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</si>
  <si>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</si>
  <si>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</si>
  <si>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</si>
  <si>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</si>
  <si>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</si>
  <si>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</si>
  <si>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</si>
  <si>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</si>
  <si>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</si>
  <si>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</si>
  <si>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</si>
  <si>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</si>
  <si>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</si>
  <si>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</si>
  <si>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</si>
  <si>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</si>
  <si>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</si>
  <si>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</si>
  <si>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</si>
  <si>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</si>
  <si>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</si>
  <si>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</si>
  <si>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</si>
  <si>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</si>
  <si>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</si>
  <si>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</si>
  <si>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</si>
  <si>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</si>
  <si>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</si>
  <si>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</si>
  <si>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</si>
  <si>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</si>
  <si>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</si>
  <si>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</si>
  <si>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</si>
  <si>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</si>
  <si>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</si>
  <si>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</si>
  <si>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</si>
  <si>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</si>
  <si>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</si>
  <si>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</si>
  <si>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</si>
  <si>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</si>
  <si>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</si>
  <si>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</si>
  <si>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</si>
  <si>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</si>
  <si>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</si>
  <si>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</si>
  <si>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</si>
  <si>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</si>
  <si>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</si>
  <si>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</si>
  <si>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</si>
  <si>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</si>
  <si>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</si>
  <si>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</si>
  <si>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</si>
  <si>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</si>
  <si>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</si>
  <si>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</si>
  <si>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</si>
  <si>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</si>
  <si>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</si>
  <si>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</si>
  <si>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</si>
  <si>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</si>
  <si>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</si>
  <si>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</si>
  <si>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</si>
  <si>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</si>
  <si>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</si>
  <si>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</si>
  <si>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</si>
  <si>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</si>
  <si>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</si>
  <si>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</si>
  <si>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</si>
  <si>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</si>
  <si>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</si>
  <si>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</si>
  <si>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</si>
  <si>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</si>
  <si>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</si>
  <si>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</si>
  <si>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</si>
  <si>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</si>
  <si>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</si>
  <si>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</si>
  <si>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</si>
  <si>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</si>
  <si>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</si>
  <si>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</si>
  <si>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</si>
  <si>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</si>
  <si>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</si>
  <si>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</si>
  <si>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</si>
  <si>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</si>
  <si>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</si>
  <si>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</si>
  <si>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</si>
  <si>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</si>
  <si>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</si>
  <si>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</si>
  <si>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</si>
  <si>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</si>
  <si>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</si>
  <si>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</si>
  <si>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</si>
  <si>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</si>
  <si>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</si>
  <si>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</si>
  <si>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</si>
  <si>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</si>
  <si>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</si>
  <si>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</si>
  <si>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</si>
  <si>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</si>
  <si>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</si>
  <si>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</si>
  <si>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</si>
  <si>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</si>
  <si>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</si>
  <si>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</si>
  <si>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</si>
  <si>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</si>
  <si>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</si>
  <si>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</si>
  <si>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</si>
  <si>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</si>
  <si>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</si>
  <si>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</si>
  <si>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</si>
  <si>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</si>
  <si>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</si>
  <si>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</si>
  <si>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</si>
  <si>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</si>
  <si>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</si>
  <si>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</si>
  <si>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</si>
  <si>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</si>
  <si>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</si>
  <si>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</si>
  <si>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</si>
  <si>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</si>
  <si>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</si>
  <si>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</si>
  <si>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</si>
  <si>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</si>
  <si>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</si>
  <si>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</si>
  <si>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</si>
  <si>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</si>
  <si>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</si>
  <si>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</si>
  <si>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</si>
  <si>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</si>
  <si>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</si>
  <si>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</si>
  <si>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</si>
  <si>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</si>
  <si>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</si>
  <si>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</si>
  <si>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</si>
  <si>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</si>
  <si>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</si>
  <si>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</si>
  <si>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</si>
  <si>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</si>
  <si>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</si>
  <si>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</si>
  <si>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</si>
  <si>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</si>
  <si>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</si>
  <si>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</si>
  <si>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</si>
  <si>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</si>
  <si>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</si>
  <si>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</si>
  <si>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</si>
  <si>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</si>
  <si>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</si>
  <si>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</si>
  <si>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</si>
  <si>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</si>
  <si>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</si>
  <si>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</si>
  <si>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</si>
  <si>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</si>
  <si>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</si>
  <si>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</si>
  <si>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</si>
  <si>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</si>
  <si>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</si>
  <si>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</si>
  <si>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</si>
  <si>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</si>
  <si>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</si>
  <si>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</si>
  <si>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</si>
  <si>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</si>
  <si>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</si>
  <si>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</si>
  <si>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</si>
  <si>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</si>
  <si>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</si>
  <si>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</si>
  <si>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</si>
  <si>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</si>
  <si>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</si>
  <si>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</si>
  <si>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</si>
  <si>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</si>
  <si>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</si>
  <si>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</si>
  <si>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</si>
  <si>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</si>
  <si>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</si>
  <si>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</si>
  <si>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</si>
  <si>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</si>
  <si>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</si>
  <si>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</si>
  <si>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</si>
  <si>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</si>
  <si>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</si>
  <si>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</si>
  <si>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</si>
  <si>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</si>
  <si>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</si>
  <si>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</si>
  <si>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</si>
  <si>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</si>
  <si>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</si>
  <si>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</si>
  <si>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</si>
  <si>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</si>
  <si>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31 de diciembre de 2018 (b)</t>
  </si>
  <si>
    <t>Del 1 de enero al 31 de diciembre de 2018 (b)</t>
  </si>
  <si>
    <t>JUNTA DE AGUA POTABLE DRENAJE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</si>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</sst>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5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7" fillId="0" borderId="13" xfId="0" applyNumberFormat="1" applyFont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5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0" t="s">
        <v>821</v>
      </c>
      <c r="B1" s="151"/>
      <c r="C1" s="151"/>
      <c r="D1" s="151"/>
      <c r="E1" s="152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3" t="s">
        <v>3296</v>
      </c>
      <c r="D3" s="153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workbookViewId="0">
      <selection activeCell="D11" sqref="D1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6" t="s">
        <v>534</v>
      </c>
      <c r="B1" s="166"/>
      <c r="C1" s="166"/>
      <c r="D1" s="166"/>
      <c r="E1" s="111"/>
      <c r="F1" s="111"/>
      <c r="G1" s="111"/>
      <c r="H1" s="111"/>
      <c r="I1" s="111"/>
      <c r="J1" s="111"/>
      <c r="K1" s="111"/>
    </row>
    <row r="2" spans="1:11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6"/>
    </row>
    <row r="3" spans="1:11" x14ac:dyDescent="0.25">
      <c r="A3" s="157" t="s">
        <v>166</v>
      </c>
      <c r="B3" s="158"/>
      <c r="C3" s="158"/>
      <c r="D3" s="159"/>
    </row>
    <row r="4" spans="1:11" x14ac:dyDescent="0.25">
      <c r="A4" s="160" t="str">
        <f>TRIMESTRE</f>
        <v>Del 1 de enero al 31 de diciembre de 2018 (b)</v>
      </c>
      <c r="B4" s="161"/>
      <c r="C4" s="161"/>
      <c r="D4" s="162"/>
    </row>
    <row r="5" spans="1:11" x14ac:dyDescent="0.25">
      <c r="A5" s="163" t="s">
        <v>118</v>
      </c>
      <c r="B5" s="164"/>
      <c r="C5" s="164"/>
      <c r="D5" s="165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503702454.87</v>
      </c>
      <c r="C8" s="40">
        <f t="shared" ref="C8:D8" si="0">SUM(C9:C11)</f>
        <v>543893165.94000006</v>
      </c>
      <c r="D8" s="40">
        <f t="shared" si="0"/>
        <v>543893165.94000006</v>
      </c>
    </row>
    <row r="9" spans="1:11" x14ac:dyDescent="0.25">
      <c r="A9" s="53" t="s">
        <v>169</v>
      </c>
      <c r="B9" s="23">
        <v>409857877.17000002</v>
      </c>
      <c r="C9" s="23">
        <v>437042126.98000002</v>
      </c>
      <c r="D9" s="23">
        <v>437042126.98000002</v>
      </c>
    </row>
    <row r="10" spans="1:11" x14ac:dyDescent="0.25">
      <c r="A10" s="53" t="s">
        <v>170</v>
      </c>
      <c r="B10" s="23">
        <v>93844577.700000003</v>
      </c>
      <c r="C10" s="23">
        <v>106851038.95999999</v>
      </c>
      <c r="D10" s="23">
        <v>106851038.95999999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503702454.86600006</v>
      </c>
      <c r="C13" s="40">
        <f t="shared" ref="C13:D13" si="2">C14+C15</f>
        <v>654070976.43000007</v>
      </c>
      <c r="D13" s="40">
        <f t="shared" si="2"/>
        <v>650953897.77999997</v>
      </c>
    </row>
    <row r="14" spans="1:11" x14ac:dyDescent="0.25">
      <c r="A14" s="53" t="s">
        <v>172</v>
      </c>
      <c r="B14" s="23">
        <v>315413401.87600005</v>
      </c>
      <c r="C14" s="23">
        <v>340023277.97000009</v>
      </c>
      <c r="D14" s="23">
        <v>336906199.31999999</v>
      </c>
    </row>
    <row r="15" spans="1:11" x14ac:dyDescent="0.25">
      <c r="A15" s="53" t="s">
        <v>173</v>
      </c>
      <c r="B15" s="23">
        <v>188289052.99000001</v>
      </c>
      <c r="C15" s="23">
        <v>314047698.46000004</v>
      </c>
      <c r="D15" s="149">
        <v>314047698.46000004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192339410.81999999</v>
      </c>
      <c r="D17" s="40">
        <f>D18+D19</f>
        <v>192339410.81999999</v>
      </c>
    </row>
    <row r="18" spans="1:4" x14ac:dyDescent="0.25">
      <c r="A18" s="53" t="s">
        <v>175</v>
      </c>
      <c r="B18" s="119">
        <v>0</v>
      </c>
      <c r="C18" s="23">
        <v>60402682.889999993</v>
      </c>
      <c r="D18" s="23">
        <v>60402682.889999993</v>
      </c>
    </row>
    <row r="19" spans="1:4" x14ac:dyDescent="0.25">
      <c r="A19" s="53" t="s">
        <v>176</v>
      </c>
      <c r="B19" s="119">
        <v>0</v>
      </c>
      <c r="C19" s="23">
        <v>131936727.93000001</v>
      </c>
      <c r="D19" s="117">
        <v>131936727.93000001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3.9999485015869141E-3</v>
      </c>
      <c r="C21" s="40">
        <f t="shared" ref="C21:D21" si="4">C8-C13+C17</f>
        <v>82161600.329999983</v>
      </c>
      <c r="D21" s="40">
        <f t="shared" si="4"/>
        <v>85278678.980000079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3.9999485015869141E-3</v>
      </c>
      <c r="C23" s="40">
        <f t="shared" ref="C23:D23" si="5">C21-C11</f>
        <v>82161600.329999983</v>
      </c>
      <c r="D23" s="40">
        <f t="shared" si="5"/>
        <v>85278678.980000079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3.9999485015869141E-3</v>
      </c>
      <c r="C25" s="40">
        <f t="shared" ref="C25" si="6">C23-C17</f>
        <v>-110177810.49000001</v>
      </c>
      <c r="D25" s="40">
        <f>D23-D17</f>
        <v>-107060731.83999991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3.9999485015869141E-3</v>
      </c>
      <c r="C33" s="61">
        <f t="shared" ref="C33:D33" si="8">C25+C29</f>
        <v>-110177810.49000001</v>
      </c>
      <c r="D33" s="61">
        <f t="shared" si="8"/>
        <v>-107060731.83999991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409857877.17000002</v>
      </c>
      <c r="C48" s="124">
        <f>C9</f>
        <v>437042126.98000002</v>
      </c>
      <c r="D48" s="124">
        <f t="shared" ref="D48" si="12">D9</f>
        <v>437042126.98000002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315413401.87600005</v>
      </c>
      <c r="C53" s="60">
        <f t="shared" ref="C53:D53" si="14">C14</f>
        <v>340023277.97000009</v>
      </c>
      <c r="D53" s="60">
        <f t="shared" si="14"/>
        <v>336906199.31999999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60402682.889999993</v>
      </c>
      <c r="D55" s="60">
        <f t="shared" si="15"/>
        <v>60402682.889999993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94444475.29399997</v>
      </c>
      <c r="C57" s="61">
        <f>C48+C49-C53+C55</f>
        <v>157421531.89999992</v>
      </c>
      <c r="D57" s="61">
        <f t="shared" ref="D57" si="16">D48+D49-D53+D55</f>
        <v>160538610.55000001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94444475.29399997</v>
      </c>
      <c r="C59" s="61">
        <f t="shared" ref="C59:D59" si="17">C57-C49</f>
        <v>157421531.89999992</v>
      </c>
      <c r="D59" s="61">
        <f t="shared" si="17"/>
        <v>160538610.55000001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93844577.700000003</v>
      </c>
      <c r="C63" s="122">
        <f t="shared" ref="C63:D63" si="18">C10</f>
        <v>106851038.95999999</v>
      </c>
      <c r="D63" s="122">
        <f t="shared" si="18"/>
        <v>106851038.95999999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188289052.99000001</v>
      </c>
      <c r="C68" s="23">
        <f t="shared" ref="C68:D68" si="20">C15</f>
        <v>314047698.46000004</v>
      </c>
      <c r="D68" s="23">
        <f t="shared" si="20"/>
        <v>314047698.46000004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131936727.93000001</v>
      </c>
      <c r="D70" s="23">
        <f t="shared" si="21"/>
        <v>131936727.93000001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-94444475.290000007</v>
      </c>
      <c r="C72" s="40">
        <f t="shared" ref="C72:D72" si="22">C63+C64-C68+C70</f>
        <v>-75259931.570000052</v>
      </c>
      <c r="D72" s="40">
        <f t="shared" si="22"/>
        <v>-75259931.570000052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-94444475.290000007</v>
      </c>
      <c r="C74" s="40">
        <f>C72-C64</f>
        <v>-75259931.570000052</v>
      </c>
      <c r="D74" s="40">
        <f t="shared" ref="D74" si="23">D72-D64</f>
        <v>-75259931.570000052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503702454.87</v>
      </c>
      <c r="Q2" s="18">
        <f>'Formato 4'!C8</f>
        <v>543893165.94000006</v>
      </c>
      <c r="R2" s="18">
        <f>'Formato 4'!D8</f>
        <v>543893165.94000006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409857877.17000002</v>
      </c>
      <c r="Q3" s="18">
        <f>'Formato 4'!C9</f>
        <v>437042126.98000002</v>
      </c>
      <c r="R3" s="18">
        <f>'Formato 4'!D9</f>
        <v>437042126.98000002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93844577.700000003</v>
      </c>
      <c r="Q4" s="18">
        <f>'Formato 4'!C10</f>
        <v>106851038.95999999</v>
      </c>
      <c r="R4" s="18">
        <f>'Formato 4'!D10</f>
        <v>106851038.95999999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503702454.86600006</v>
      </c>
      <c r="Q6" s="18">
        <f>'Formato 4'!C13</f>
        <v>654070976.43000007</v>
      </c>
      <c r="R6" s="18">
        <f>'Formato 4'!D13</f>
        <v>650953897.77999997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315413401.87600005</v>
      </c>
      <c r="Q7" s="18">
        <f>'Formato 4'!C14</f>
        <v>340023277.97000009</v>
      </c>
      <c r="R7" s="18">
        <f>'Formato 4'!D14</f>
        <v>336906199.31999999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188289052.99000001</v>
      </c>
      <c r="Q8" s="18">
        <f>'Formato 4'!C15</f>
        <v>314047698.46000004</v>
      </c>
      <c r="R8" s="18">
        <f>'Formato 4'!D15</f>
        <v>314047698.46000004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192339410.81999999</v>
      </c>
      <c r="R9" s="18">
        <f>'Formato 4'!D17</f>
        <v>192339410.81999999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60402682.889999993</v>
      </c>
      <c r="R10" s="18">
        <f>'Formato 4'!D18</f>
        <v>60402682.889999993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131936727.93000001</v>
      </c>
      <c r="R11" s="18">
        <f>'Formato 4'!D19</f>
        <v>131936727.93000001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3.9999485015869141E-3</v>
      </c>
      <c r="Q12" s="18">
        <f>'Formato 4'!C21</f>
        <v>82161600.329999983</v>
      </c>
      <c r="R12" s="18">
        <f>'Formato 4'!D21</f>
        <v>85278678.980000079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3.9999485015869141E-3</v>
      </c>
      <c r="Q13" s="18">
        <f>'Formato 4'!C23</f>
        <v>82161600.329999983</v>
      </c>
      <c r="R13" s="18">
        <f>'Formato 4'!D23</f>
        <v>85278678.980000079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3.9999485015869141E-3</v>
      </c>
      <c r="Q14" s="18">
        <f>'Formato 4'!C25</f>
        <v>-110177810.49000001</v>
      </c>
      <c r="R14" s="18">
        <f>'Formato 4'!D25</f>
        <v>-107060731.83999991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3.9999485015869141E-3</v>
      </c>
      <c r="Q18">
        <f>'Formato 4'!C33</f>
        <v>-110177810.49000001</v>
      </c>
      <c r="R18">
        <f>'Formato 4'!D33</f>
        <v>-107060731.83999991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409857877.17000002</v>
      </c>
      <c r="Q26">
        <f>'Formato 4'!C48</f>
        <v>437042126.98000002</v>
      </c>
      <c r="R26">
        <f>'Formato 4'!D48</f>
        <v>437042126.98000002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315413401.87600005</v>
      </c>
      <c r="Q30">
        <f>'Formato 4'!C53</f>
        <v>340023277.97000009</v>
      </c>
      <c r="R30">
        <f>'Formato 4'!D53</f>
        <v>336906199.31999999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60402682.889999993</v>
      </c>
      <c r="R31">
        <f>'Formato 4'!D55</f>
        <v>60402682.889999993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93844577.700000003</v>
      </c>
      <c r="Q32">
        <f>'Formato 4'!C63</f>
        <v>106851038.95999999</v>
      </c>
      <c r="R32">
        <f>'Formato 4'!D63</f>
        <v>106851038.95999999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188289052.99000001</v>
      </c>
      <c r="Q36">
        <f>'Formato 4'!C68</f>
        <v>314047698.46000004</v>
      </c>
      <c r="R36">
        <f>'Formato 4'!D68</f>
        <v>314047698.46000004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131936727.93000001</v>
      </c>
      <c r="R37">
        <f>'Formato 4'!D70</f>
        <v>131936727.93000001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-94444475.290000007</v>
      </c>
      <c r="Q38">
        <f>'Formato 4'!C72</f>
        <v>-75259931.570000052</v>
      </c>
      <c r="R38">
        <f>'Formato 4'!D72</f>
        <v>-75259931.570000052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-94444475.290000007</v>
      </c>
      <c r="Q39">
        <f>'Formato 4'!C74</f>
        <v>-75259931.570000052</v>
      </c>
      <c r="R39">
        <f>'Formato 4'!D74</f>
        <v>-75259931.570000052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tabSelected="1" topLeftCell="B57" workbookViewId="0">
      <selection activeCell="E71" sqref="E7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2" t="s">
        <v>206</v>
      </c>
      <c r="B1" s="172"/>
      <c r="C1" s="172"/>
      <c r="D1" s="172"/>
      <c r="E1" s="172"/>
      <c r="F1" s="172"/>
      <c r="G1" s="172"/>
    </row>
    <row r="2" spans="1:8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8" x14ac:dyDescent="0.25">
      <c r="A3" s="157" t="s">
        <v>207</v>
      </c>
      <c r="B3" s="158"/>
      <c r="C3" s="158"/>
      <c r="D3" s="158"/>
      <c r="E3" s="158"/>
      <c r="F3" s="158"/>
      <c r="G3" s="159"/>
    </row>
    <row r="4" spans="1:8" x14ac:dyDescent="0.25">
      <c r="A4" s="160" t="str">
        <f>TRIMESTRE</f>
        <v>Del 1 de enero al 31 de diciembre de 2018 (b)</v>
      </c>
      <c r="B4" s="161"/>
      <c r="C4" s="161"/>
      <c r="D4" s="161"/>
      <c r="E4" s="161"/>
      <c r="F4" s="161"/>
      <c r="G4" s="162"/>
    </row>
    <row r="5" spans="1:8" x14ac:dyDescent="0.25">
      <c r="A5" s="163" t="s">
        <v>118</v>
      </c>
      <c r="B5" s="164"/>
      <c r="C5" s="164"/>
      <c r="D5" s="164"/>
      <c r="E5" s="164"/>
      <c r="F5" s="164"/>
      <c r="G5" s="165"/>
    </row>
    <row r="6" spans="1:8" x14ac:dyDescent="0.25">
      <c r="A6" s="169" t="s">
        <v>214</v>
      </c>
      <c r="B6" s="171" t="s">
        <v>208</v>
      </c>
      <c r="C6" s="171"/>
      <c r="D6" s="171"/>
      <c r="E6" s="171"/>
      <c r="F6" s="171"/>
      <c r="G6" s="171" t="s">
        <v>209</v>
      </c>
    </row>
    <row r="7" spans="1:8" ht="30" x14ac:dyDescent="0.25">
      <c r="A7" s="17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221</v>
      </c>
      <c r="B14" s="60">
        <v>10500000</v>
      </c>
      <c r="C14" s="60">
        <v>15000000</v>
      </c>
      <c r="D14" s="60">
        <v>25500000</v>
      </c>
      <c r="E14" s="60">
        <v>24243910</v>
      </c>
      <c r="F14" s="60">
        <v>24243910</v>
      </c>
      <c r="G14" s="60">
        <f t="shared" si="0"/>
        <v>13743910</v>
      </c>
    </row>
    <row r="15" spans="1:8" x14ac:dyDescent="0.25">
      <c r="A15" s="53" t="s">
        <v>222</v>
      </c>
      <c r="B15" s="60">
        <v>399357877.19999999</v>
      </c>
      <c r="C15" s="60">
        <v>21270924.120000001</v>
      </c>
      <c r="D15" s="60">
        <v>420628801.29000002</v>
      </c>
      <c r="E15" s="60">
        <v>412798216.98000002</v>
      </c>
      <c r="F15" s="60">
        <v>412798216.98000002</v>
      </c>
      <c r="G15" s="60">
        <f t="shared" si="0"/>
        <v>13440339.780000031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f t="shared" ref="C35:D35" si="5">C36</f>
        <v>0</v>
      </c>
      <c r="D35" s="60">
        <f t="shared" si="5"/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409857877.19999999</v>
      </c>
      <c r="C41" s="61">
        <f t="shared" ref="C41:E41" si="7">SUM(C9,C10,C11,C12,C13,C14,C15,C16,C28,C34,C35,C37)</f>
        <v>36270924.120000005</v>
      </c>
      <c r="D41" s="61">
        <f t="shared" si="7"/>
        <v>446128801.29000002</v>
      </c>
      <c r="E41" s="61">
        <f t="shared" si="7"/>
        <v>437042126.98000002</v>
      </c>
      <c r="F41" s="61">
        <f>SUM(F9,F10,F11,F12,F13,F14,F15,F16,F28,F34,F35,F37)</f>
        <v>437042126.98000002</v>
      </c>
      <c r="G41" s="61">
        <f>SUM(G9,G10,G11,G12,G13,G14,G15,G16,G28,G34,G35,G37)</f>
        <v>27184249.780000031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27184249.780000031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93844577.700000003</v>
      </c>
      <c r="C63" s="60">
        <v>102572362.89</v>
      </c>
      <c r="D63" s="60">
        <v>196416940.59</v>
      </c>
      <c r="E63" s="60">
        <v>182084827.91</v>
      </c>
      <c r="F63" s="60">
        <v>182084827.91</v>
      </c>
      <c r="G63" s="60">
        <f>F63-B63</f>
        <v>88240250.209999993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93844577.700000003</v>
      </c>
      <c r="C65" s="61">
        <f t="shared" ref="C65:G65" si="13">C45+C54+C59+C62+C63</f>
        <v>102572362.89</v>
      </c>
      <c r="D65" s="61">
        <f t="shared" si="13"/>
        <v>196416940.59</v>
      </c>
      <c r="E65" s="61">
        <f t="shared" si="13"/>
        <v>182084827.91</v>
      </c>
      <c r="F65" s="61">
        <f t="shared" si="13"/>
        <v>182084827.91</v>
      </c>
      <c r="G65" s="61">
        <f t="shared" si="13"/>
        <v>88240250.209999993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>+C68</f>
        <v>337771038.83999997</v>
      </c>
      <c r="D67" s="61">
        <f>+D68</f>
        <v>337771038.83999997</v>
      </c>
      <c r="E67" s="61">
        <f t="shared" ref="E67:G67" si="14">E68</f>
        <v>117217672.52</v>
      </c>
      <c r="F67" s="61">
        <f t="shared" si="14"/>
        <v>117217672.52</v>
      </c>
      <c r="G67" s="61">
        <f t="shared" si="14"/>
        <v>117217672.52</v>
      </c>
    </row>
    <row r="68" spans="1:7" x14ac:dyDescent="0.25">
      <c r="A68" s="53" t="s">
        <v>269</v>
      </c>
      <c r="B68" s="60">
        <v>0</v>
      </c>
      <c r="C68" s="60">
        <v>337771038.83999997</v>
      </c>
      <c r="D68" s="60">
        <v>337771038.83999997</v>
      </c>
      <c r="E68" s="60">
        <v>117217672.52</v>
      </c>
      <c r="F68" s="60">
        <v>117217672.52</v>
      </c>
      <c r="G68" s="60">
        <f>F68-B68</f>
        <v>117217672.52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503702454.89999998</v>
      </c>
      <c r="C70" s="61">
        <f t="shared" ref="C70:G70" si="15">C41+C65+C67</f>
        <v>476614325.84999996</v>
      </c>
      <c r="D70" s="61">
        <f t="shared" si="15"/>
        <v>980316780.72000003</v>
      </c>
      <c r="E70" s="61">
        <f t="shared" si="15"/>
        <v>736344627.40999997</v>
      </c>
      <c r="F70" s="61">
        <f t="shared" si="15"/>
        <v>736344627.40999997</v>
      </c>
      <c r="G70" s="61">
        <f t="shared" si="15"/>
        <v>232642172.51000002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10500000</v>
      </c>
      <c r="Q8" s="18">
        <f>'Formato 5'!C14</f>
        <v>15000000</v>
      </c>
      <c r="R8" s="18">
        <f>'Formato 5'!D14</f>
        <v>25500000</v>
      </c>
      <c r="S8" s="18">
        <f>'Formato 5'!E14</f>
        <v>24243910</v>
      </c>
      <c r="T8" s="18">
        <f>'Formato 5'!F14</f>
        <v>24243910</v>
      </c>
      <c r="U8" s="18">
        <f>'Formato 5'!G14</f>
        <v>13743910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399357877.19999999</v>
      </c>
      <c r="Q9" s="18">
        <f>'Formato 5'!C15</f>
        <v>21270924.120000001</v>
      </c>
      <c r="R9" s="18">
        <f>'Formato 5'!D15</f>
        <v>420628801.29000002</v>
      </c>
      <c r="S9" s="18">
        <f>'Formato 5'!E15</f>
        <v>412798216.98000002</v>
      </c>
      <c r="T9" s="18">
        <f>'Formato 5'!F15</f>
        <v>412798216.98000002</v>
      </c>
      <c r="U9" s="18">
        <f>'Formato 5'!G15</f>
        <v>13440339.780000031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409857877.19999999</v>
      </c>
      <c r="Q34">
        <f>'Formato 5'!C41</f>
        <v>36270924.120000005</v>
      </c>
      <c r="R34">
        <f>'Formato 5'!D41</f>
        <v>446128801.29000002</v>
      </c>
      <c r="S34">
        <f>'Formato 5'!E41</f>
        <v>437042126.98000002</v>
      </c>
      <c r="T34">
        <f>'Formato 5'!F41</f>
        <v>437042126.98000002</v>
      </c>
      <c r="U34">
        <f>'Formato 5'!G41</f>
        <v>27184249.780000031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27184249.780000031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93844577.700000003</v>
      </c>
      <c r="Q55">
        <f>'Formato 5'!C63</f>
        <v>102572362.89</v>
      </c>
      <c r="R55">
        <f>'Formato 5'!D63</f>
        <v>196416940.59</v>
      </c>
      <c r="S55">
        <f>'Formato 5'!E63</f>
        <v>182084827.91</v>
      </c>
      <c r="T55">
        <f>'Formato 5'!F63</f>
        <v>182084827.91</v>
      </c>
      <c r="U55">
        <f>'Formato 5'!G63</f>
        <v>88240250.209999993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93844577.700000003</v>
      </c>
      <c r="Q56">
        <f>'Formato 5'!C65</f>
        <v>102572362.89</v>
      </c>
      <c r="R56">
        <f>'Formato 5'!D65</f>
        <v>196416940.59</v>
      </c>
      <c r="S56">
        <f>'Formato 5'!E65</f>
        <v>182084827.91</v>
      </c>
      <c r="T56">
        <f>'Formato 5'!F65</f>
        <v>182084827.91</v>
      </c>
      <c r="U56">
        <f>'Formato 5'!G65</f>
        <v>88240250.209999993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337771038.83999997</v>
      </c>
      <c r="R57">
        <f>'Formato 5'!D67</f>
        <v>337771038.83999997</v>
      </c>
      <c r="S57">
        <f>'Formato 5'!E67</f>
        <v>117217672.52</v>
      </c>
      <c r="T57">
        <f>'Formato 5'!F67</f>
        <v>117217672.52</v>
      </c>
      <c r="U57">
        <f>'Formato 5'!G67</f>
        <v>117217672.52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337771038.83999997</v>
      </c>
      <c r="R58">
        <f>'Formato 5'!D68</f>
        <v>337771038.83999997</v>
      </c>
      <c r="S58">
        <f>'Formato 5'!E68</f>
        <v>117217672.52</v>
      </c>
      <c r="T58">
        <f>'Formato 5'!F68</f>
        <v>117217672.52</v>
      </c>
      <c r="U58">
        <f>'Formato 5'!G68</f>
        <v>117217672.52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B147" workbookViewId="0">
      <selection activeCell="E159" sqref="E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3" t="s">
        <v>3277</v>
      </c>
      <c r="B1" s="172"/>
      <c r="C1" s="172"/>
      <c r="D1" s="172"/>
      <c r="E1" s="172"/>
      <c r="F1" s="172"/>
      <c r="G1" s="172"/>
    </row>
    <row r="2" spans="1:7" x14ac:dyDescent="0.25">
      <c r="A2" s="176" t="str">
        <f>ENTE_PUBLICO_A</f>
        <v>JUNTA DE AGUA POTABLE DRENAJE POTABLE DRENAJE ALCANTARILLADO Y SANEAMIENTO DEL MUNICIPIO DE IRAPUATO GTO, Gobierno del Estado de Guanajuato (a)</v>
      </c>
      <c r="B2" s="176"/>
      <c r="C2" s="176"/>
      <c r="D2" s="176"/>
      <c r="E2" s="176"/>
      <c r="F2" s="176"/>
      <c r="G2" s="176"/>
    </row>
    <row r="3" spans="1:7" x14ac:dyDescent="0.25">
      <c r="A3" s="177" t="s">
        <v>277</v>
      </c>
      <c r="B3" s="177"/>
      <c r="C3" s="177"/>
      <c r="D3" s="177"/>
      <c r="E3" s="177"/>
      <c r="F3" s="177"/>
      <c r="G3" s="177"/>
    </row>
    <row r="4" spans="1:7" x14ac:dyDescent="0.25">
      <c r="A4" s="177" t="s">
        <v>278</v>
      </c>
      <c r="B4" s="177"/>
      <c r="C4" s="177"/>
      <c r="D4" s="177"/>
      <c r="E4" s="177"/>
      <c r="F4" s="177"/>
      <c r="G4" s="177"/>
    </row>
    <row r="5" spans="1:7" x14ac:dyDescent="0.25">
      <c r="A5" s="178" t="str">
        <f>TRIMESTRE</f>
        <v>Del 1 de enero al 31 de diciembre de 2018 (b)</v>
      </c>
      <c r="B5" s="178"/>
      <c r="C5" s="178"/>
      <c r="D5" s="178"/>
      <c r="E5" s="178"/>
      <c r="F5" s="178"/>
      <c r="G5" s="178"/>
    </row>
    <row r="6" spans="1:7" x14ac:dyDescent="0.25">
      <c r="A6" s="170" t="s">
        <v>118</v>
      </c>
      <c r="B6" s="170"/>
      <c r="C6" s="170"/>
      <c r="D6" s="170"/>
      <c r="E6" s="170"/>
      <c r="F6" s="170"/>
      <c r="G6" s="170"/>
    </row>
    <row r="7" spans="1:7" ht="15" customHeight="1" x14ac:dyDescent="0.25">
      <c r="A7" s="174" t="s">
        <v>0</v>
      </c>
      <c r="B7" s="174" t="s">
        <v>279</v>
      </c>
      <c r="C7" s="174"/>
      <c r="D7" s="174"/>
      <c r="E7" s="174"/>
      <c r="F7" s="174"/>
      <c r="G7" s="175" t="s">
        <v>280</v>
      </c>
    </row>
    <row r="8" spans="1:7" ht="30" x14ac:dyDescent="0.25">
      <c r="A8" s="17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4"/>
    </row>
    <row r="9" spans="1:7" x14ac:dyDescent="0.25">
      <c r="A9" s="82" t="s">
        <v>285</v>
      </c>
      <c r="B9" s="79">
        <f>SUM(B10,B18,B28,B38,B48,B58,B62,B71,B75)</f>
        <v>315413401.87600005</v>
      </c>
      <c r="C9" s="79">
        <f t="shared" ref="C9:G9" si="0">SUM(C10,C18,C28,C38,C48,C58,C62,C71,C75)</f>
        <v>275334483.824</v>
      </c>
      <c r="D9" s="79">
        <f t="shared" si="0"/>
        <v>590747885.70000005</v>
      </c>
      <c r="E9" s="79">
        <f t="shared" si="0"/>
        <v>340023277.97000009</v>
      </c>
      <c r="F9" s="79">
        <f t="shared" si="0"/>
        <v>336906199.31999999</v>
      </c>
      <c r="G9" s="79">
        <f t="shared" si="0"/>
        <v>250724607.73000002</v>
      </c>
    </row>
    <row r="10" spans="1:7" x14ac:dyDescent="0.25">
      <c r="A10" s="83" t="s">
        <v>286</v>
      </c>
      <c r="B10" s="80">
        <f>SUM(B11:B17)</f>
        <v>111506093.57600001</v>
      </c>
      <c r="C10" s="80">
        <f t="shared" ref="C10:F10" si="1">SUM(C11:C17)</f>
        <v>3.9999615401029587E-3</v>
      </c>
      <c r="D10" s="80">
        <f t="shared" si="1"/>
        <v>111506093.57999995</v>
      </c>
      <c r="E10" s="80">
        <f t="shared" si="1"/>
        <v>109213604.25999999</v>
      </c>
      <c r="F10" s="80">
        <f t="shared" si="1"/>
        <v>109213604.25999999</v>
      </c>
      <c r="G10" s="80">
        <f>SUM(G11:G17)</f>
        <v>2292489.3199999798</v>
      </c>
    </row>
    <row r="11" spans="1:7" x14ac:dyDescent="0.25">
      <c r="A11" s="84" t="s">
        <v>287</v>
      </c>
      <c r="B11" s="80">
        <v>59468543.446000002</v>
      </c>
      <c r="C11" s="80">
        <v>-609575.66600002348</v>
      </c>
      <c r="D11" s="80">
        <v>58858967.779999979</v>
      </c>
      <c r="E11" s="80">
        <v>58678821.349999987</v>
      </c>
      <c r="F11" s="80">
        <v>58678821.349999987</v>
      </c>
      <c r="G11" s="80">
        <f>D11-E11</f>
        <v>180146.42999999225</v>
      </c>
    </row>
    <row r="12" spans="1:7" x14ac:dyDescent="0.25">
      <c r="A12" s="84" t="s">
        <v>288</v>
      </c>
      <c r="B12" s="80">
        <v>104500</v>
      </c>
      <c r="C12" s="80">
        <v>-15000</v>
      </c>
      <c r="D12" s="80">
        <v>89500</v>
      </c>
      <c r="E12" s="80">
        <v>72000</v>
      </c>
      <c r="F12" s="80">
        <v>72000</v>
      </c>
      <c r="G12" s="80">
        <f>D12-E12</f>
        <v>17500</v>
      </c>
    </row>
    <row r="13" spans="1:7" x14ac:dyDescent="0.25">
      <c r="A13" s="84" t="s">
        <v>289</v>
      </c>
      <c r="B13" s="80">
        <v>12192747.420000002</v>
      </c>
      <c r="C13" s="80">
        <v>259575.66999999993</v>
      </c>
      <c r="D13" s="80">
        <v>12452323.090000002</v>
      </c>
      <c r="E13" s="80">
        <v>12130243.310000006</v>
      </c>
      <c r="F13" s="80">
        <v>12130243.310000006</v>
      </c>
      <c r="G13" s="80">
        <f t="shared" ref="G13:G17" si="2">D13-E13</f>
        <v>322079.7799999956</v>
      </c>
    </row>
    <row r="14" spans="1:7" x14ac:dyDescent="0.25">
      <c r="A14" s="84" t="s">
        <v>290</v>
      </c>
      <c r="B14" s="80">
        <v>19206239.810000002</v>
      </c>
      <c r="C14" s="80">
        <v>-2480852.040000014</v>
      </c>
      <c r="D14" s="80">
        <v>16725387.769999988</v>
      </c>
      <c r="E14" s="80">
        <v>15284224.200000007</v>
      </c>
      <c r="F14" s="80">
        <v>15284224.200000007</v>
      </c>
      <c r="G14" s="80">
        <f t="shared" si="2"/>
        <v>1441163.5699999817</v>
      </c>
    </row>
    <row r="15" spans="1:7" x14ac:dyDescent="0.25">
      <c r="A15" s="84" t="s">
        <v>291</v>
      </c>
      <c r="B15" s="80">
        <v>20534062.900000002</v>
      </c>
      <c r="C15" s="80">
        <v>2830852.0399999991</v>
      </c>
      <c r="D15" s="80">
        <v>23364914.940000001</v>
      </c>
      <c r="E15" s="80">
        <v>23048315.399999991</v>
      </c>
      <c r="F15" s="80">
        <v>23048315.399999991</v>
      </c>
      <c r="G15" s="80">
        <f t="shared" si="2"/>
        <v>316599.54000001028</v>
      </c>
    </row>
    <row r="16" spans="1:7" x14ac:dyDescent="0.25">
      <c r="A16" s="84" t="s">
        <v>292</v>
      </c>
      <c r="B16" s="80">
        <v>0</v>
      </c>
      <c r="C16" s="80">
        <v>15000</v>
      </c>
      <c r="D16" s="80">
        <v>15000</v>
      </c>
      <c r="E16" s="80">
        <v>0</v>
      </c>
      <c r="F16" s="80">
        <v>0</v>
      </c>
      <c r="G16" s="80">
        <f t="shared" si="2"/>
        <v>15000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62123181.030000001</v>
      </c>
      <c r="C18" s="80">
        <f t="shared" ref="C18:F18" si="3">SUM(C19:C27)</f>
        <v>-4293786.8999999948</v>
      </c>
      <c r="D18" s="80">
        <f t="shared" si="3"/>
        <v>57829394.129999995</v>
      </c>
      <c r="E18" s="80">
        <f t="shared" si="3"/>
        <v>51125851.470000006</v>
      </c>
      <c r="F18" s="80">
        <f t="shared" si="3"/>
        <v>49398870.620000005</v>
      </c>
      <c r="G18" s="80">
        <f>SUM(G19:G27)</f>
        <v>6703542.6599999852</v>
      </c>
    </row>
    <row r="19" spans="1:7" x14ac:dyDescent="0.25">
      <c r="A19" s="84" t="s">
        <v>295</v>
      </c>
      <c r="B19" s="80">
        <v>1738063.4299999992</v>
      </c>
      <c r="C19" s="80">
        <v>-193913.78999999934</v>
      </c>
      <c r="D19" s="80">
        <v>1544149.64</v>
      </c>
      <c r="E19" s="80">
        <v>1352819.5099999993</v>
      </c>
      <c r="F19" s="80">
        <v>1321461.6499999992</v>
      </c>
      <c r="G19" s="80">
        <f>D19-E19</f>
        <v>191330.13000000059</v>
      </c>
    </row>
    <row r="20" spans="1:7" x14ac:dyDescent="0.25">
      <c r="A20" s="84" t="s">
        <v>296</v>
      </c>
      <c r="B20" s="80">
        <v>458385.40000000008</v>
      </c>
      <c r="C20" s="80">
        <v>-8878.6200000001118</v>
      </c>
      <c r="D20" s="80">
        <v>449506.77999999997</v>
      </c>
      <c r="E20" s="80">
        <v>398900.61000000016</v>
      </c>
      <c r="F20" s="80">
        <v>398900.61000000016</v>
      </c>
      <c r="G20" s="80">
        <f t="shared" ref="G20:G27" si="4">D20-E20</f>
        <v>50606.169999999809</v>
      </c>
    </row>
    <row r="21" spans="1:7" x14ac:dyDescent="0.25">
      <c r="A21" s="84" t="s">
        <v>297</v>
      </c>
      <c r="B21" s="80">
        <v>492518.56</v>
      </c>
      <c r="C21" s="80">
        <v>55813.22000000003</v>
      </c>
      <c r="D21" s="80">
        <v>548331.78</v>
      </c>
      <c r="E21" s="80">
        <v>518233.27000000008</v>
      </c>
      <c r="F21" s="80">
        <v>458067.83000000007</v>
      </c>
      <c r="G21" s="80">
        <f t="shared" si="4"/>
        <v>30098.509999999951</v>
      </c>
    </row>
    <row r="22" spans="1:7" x14ac:dyDescent="0.25">
      <c r="A22" s="84" t="s">
        <v>298</v>
      </c>
      <c r="B22" s="80">
        <v>19280160.339999992</v>
      </c>
      <c r="C22" s="80">
        <v>80817.410000003874</v>
      </c>
      <c r="D22" s="80">
        <v>19360977.749999996</v>
      </c>
      <c r="E22" s="80">
        <v>16727899.000000004</v>
      </c>
      <c r="F22" s="80">
        <v>15898031.360000001</v>
      </c>
      <c r="G22" s="80">
        <f t="shared" si="4"/>
        <v>2633078.7499999925</v>
      </c>
    </row>
    <row r="23" spans="1:7" x14ac:dyDescent="0.25">
      <c r="A23" s="84" t="s">
        <v>299</v>
      </c>
      <c r="B23" s="80">
        <v>26793938.240000002</v>
      </c>
      <c r="C23" s="80">
        <v>-6516482.9499999993</v>
      </c>
      <c r="D23" s="80">
        <v>20277455.290000003</v>
      </c>
      <c r="E23" s="80">
        <v>16576889.470000012</v>
      </c>
      <c r="F23" s="80">
        <v>16018371.030000005</v>
      </c>
      <c r="G23" s="80">
        <f t="shared" si="4"/>
        <v>3700565.819999991</v>
      </c>
    </row>
    <row r="24" spans="1:7" x14ac:dyDescent="0.25">
      <c r="A24" s="84" t="s">
        <v>300</v>
      </c>
      <c r="B24" s="80">
        <v>8499680</v>
      </c>
      <c r="C24" s="80">
        <v>2742490.5</v>
      </c>
      <c r="D24" s="80">
        <v>11242170.5</v>
      </c>
      <c r="E24" s="80">
        <v>11235148.089999998</v>
      </c>
      <c r="F24" s="80">
        <v>11235148.089999998</v>
      </c>
      <c r="G24" s="80">
        <f t="shared" si="4"/>
        <v>7022.4100000020117</v>
      </c>
    </row>
    <row r="25" spans="1:7" x14ac:dyDescent="0.25">
      <c r="A25" s="84" t="s">
        <v>301</v>
      </c>
      <c r="B25" s="80">
        <v>2405991.11</v>
      </c>
      <c r="C25" s="80">
        <v>-202863.91999999946</v>
      </c>
      <c r="D25" s="80">
        <v>2203127.1900000004</v>
      </c>
      <c r="E25" s="80">
        <v>2166563.7600000012</v>
      </c>
      <c r="F25" s="80">
        <v>2144350.9600000014</v>
      </c>
      <c r="G25" s="80">
        <f t="shared" si="4"/>
        <v>36563.429999999236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2454443.9500000002</v>
      </c>
      <c r="C27" s="80">
        <v>-250768.75</v>
      </c>
      <c r="D27" s="80">
        <v>2203675.2000000002</v>
      </c>
      <c r="E27" s="80">
        <v>2149397.7600000007</v>
      </c>
      <c r="F27" s="80">
        <v>1924539.0900000003</v>
      </c>
      <c r="G27" s="80">
        <f t="shared" si="4"/>
        <v>54277.439999999478</v>
      </c>
    </row>
    <row r="28" spans="1:7" x14ac:dyDescent="0.25">
      <c r="A28" s="83" t="s">
        <v>304</v>
      </c>
      <c r="B28" s="80">
        <f>SUM(B29:B37)</f>
        <v>112962283.24999999</v>
      </c>
      <c r="C28" s="80">
        <f t="shared" ref="C28:G28" si="5">SUM(C29:C37)</f>
        <v>34603090.320000023</v>
      </c>
      <c r="D28" s="80">
        <f t="shared" si="5"/>
        <v>147565373.57000002</v>
      </c>
      <c r="E28" s="80">
        <f t="shared" si="5"/>
        <v>140594195.83000004</v>
      </c>
      <c r="F28" s="80">
        <f t="shared" si="5"/>
        <v>140366641.29000002</v>
      </c>
      <c r="G28" s="80">
        <f t="shared" si="5"/>
        <v>6971177.7400000067</v>
      </c>
    </row>
    <row r="29" spans="1:7" x14ac:dyDescent="0.25">
      <c r="A29" s="84" t="s">
        <v>305</v>
      </c>
      <c r="B29" s="80">
        <v>63177890.57</v>
      </c>
      <c r="C29" s="80">
        <v>21949446.810000025</v>
      </c>
      <c r="D29" s="80">
        <v>85127337.380000025</v>
      </c>
      <c r="E29" s="80">
        <v>82812180.420000032</v>
      </c>
      <c r="F29" s="80">
        <v>82812180.420000032</v>
      </c>
      <c r="G29" s="80">
        <f>D29-E29</f>
        <v>2315156.9599999934</v>
      </c>
    </row>
    <row r="30" spans="1:7" x14ac:dyDescent="0.25">
      <c r="A30" s="84" t="s">
        <v>306</v>
      </c>
      <c r="B30" s="80">
        <v>1289940.3999999999</v>
      </c>
      <c r="C30" s="80">
        <v>666407.18999999994</v>
      </c>
      <c r="D30" s="80">
        <v>1956347.5899999999</v>
      </c>
      <c r="E30" s="80">
        <v>1935667.42</v>
      </c>
      <c r="F30" s="80">
        <v>1929353.52</v>
      </c>
      <c r="G30" s="80">
        <f t="shared" ref="G30:G37" si="6">D30-E30</f>
        <v>20680.169999999925</v>
      </c>
    </row>
    <row r="31" spans="1:7" x14ac:dyDescent="0.25">
      <c r="A31" s="84" t="s">
        <v>307</v>
      </c>
      <c r="B31" s="80">
        <v>8046947.0100000007</v>
      </c>
      <c r="C31" s="80">
        <v>1637284.0299999984</v>
      </c>
      <c r="D31" s="80">
        <v>9684231.0399999991</v>
      </c>
      <c r="E31" s="80">
        <v>8707269.0800000001</v>
      </c>
      <c r="F31" s="80">
        <v>8647812.5800000001</v>
      </c>
      <c r="G31" s="80">
        <f t="shared" si="6"/>
        <v>976961.95999999903</v>
      </c>
    </row>
    <row r="32" spans="1:7" x14ac:dyDescent="0.25">
      <c r="A32" s="84" t="s">
        <v>308</v>
      </c>
      <c r="B32" s="80">
        <v>4214326.2300000004</v>
      </c>
      <c r="C32" s="80">
        <v>850459.51999999955</v>
      </c>
      <c r="D32" s="80">
        <v>5064785.75</v>
      </c>
      <c r="E32" s="80">
        <v>3579039.6999999965</v>
      </c>
      <c r="F32" s="80">
        <v>3487443.6899999972</v>
      </c>
      <c r="G32" s="80">
        <f t="shared" si="6"/>
        <v>1485746.0500000035</v>
      </c>
    </row>
    <row r="33" spans="1:7" x14ac:dyDescent="0.25">
      <c r="A33" s="84" t="s">
        <v>309</v>
      </c>
      <c r="B33" s="80">
        <v>10117476.35</v>
      </c>
      <c r="C33" s="80">
        <v>5995327.75</v>
      </c>
      <c r="D33" s="80">
        <v>16112804.1</v>
      </c>
      <c r="E33" s="80">
        <v>14595395.869999984</v>
      </c>
      <c r="F33" s="80">
        <v>14527608.939999985</v>
      </c>
      <c r="G33" s="80">
        <f t="shared" si="6"/>
        <v>1517408.2300000153</v>
      </c>
    </row>
    <row r="34" spans="1:7" x14ac:dyDescent="0.25">
      <c r="A34" s="84" t="s">
        <v>310</v>
      </c>
      <c r="B34" s="80">
        <v>2103565.4900000002</v>
      </c>
      <c r="C34" s="80">
        <v>548613.09999999963</v>
      </c>
      <c r="D34" s="80">
        <v>2652178.59</v>
      </c>
      <c r="E34" s="80">
        <v>2502097.62</v>
      </c>
      <c r="F34" s="80">
        <v>2499696.42</v>
      </c>
      <c r="G34" s="80">
        <f t="shared" si="6"/>
        <v>150080.96999999974</v>
      </c>
    </row>
    <row r="35" spans="1:7" x14ac:dyDescent="0.25">
      <c r="A35" s="84" t="s">
        <v>311</v>
      </c>
      <c r="B35" s="80">
        <v>354947.05</v>
      </c>
      <c r="C35" s="80">
        <v>-186024.88</v>
      </c>
      <c r="D35" s="80">
        <v>168922.16999999998</v>
      </c>
      <c r="E35" s="80">
        <v>109041.85999999999</v>
      </c>
      <c r="F35" s="80">
        <v>109041.85999999999</v>
      </c>
      <c r="G35" s="80">
        <f t="shared" si="6"/>
        <v>59880.31</v>
      </c>
    </row>
    <row r="36" spans="1:7" x14ac:dyDescent="0.25">
      <c r="A36" s="84" t="s">
        <v>312</v>
      </c>
      <c r="B36" s="80">
        <v>378797.66000000003</v>
      </c>
      <c r="C36" s="80">
        <v>9235.0199999999604</v>
      </c>
      <c r="D36" s="80">
        <v>388032.68</v>
      </c>
      <c r="E36" s="80">
        <v>308061.59000000003</v>
      </c>
      <c r="F36" s="80">
        <v>308061.59000000003</v>
      </c>
      <c r="G36" s="80">
        <f t="shared" si="6"/>
        <v>79971.089999999967</v>
      </c>
    </row>
    <row r="37" spans="1:7" x14ac:dyDescent="0.25">
      <c r="A37" s="84" t="s">
        <v>313</v>
      </c>
      <c r="B37" s="80">
        <v>23278392.489999998</v>
      </c>
      <c r="C37" s="80">
        <v>3132341.7800000012</v>
      </c>
      <c r="D37" s="80">
        <v>26410734.27</v>
      </c>
      <c r="E37" s="80">
        <v>26045442.270000003</v>
      </c>
      <c r="F37" s="80">
        <v>26045442.270000003</v>
      </c>
      <c r="G37" s="80">
        <f t="shared" si="6"/>
        <v>365291.99999999627</v>
      </c>
    </row>
    <row r="38" spans="1:7" x14ac:dyDescent="0.25">
      <c r="A38" s="83" t="s">
        <v>314</v>
      </c>
      <c r="B38" s="80">
        <f>SUM(B39:B47)</f>
        <v>1142516.1000000001</v>
      </c>
      <c r="C38" s="80">
        <f t="shared" ref="C38:G38" si="7">SUM(C39:C47)</f>
        <v>130000</v>
      </c>
      <c r="D38" s="80">
        <f t="shared" si="7"/>
        <v>1272516.1000000001</v>
      </c>
      <c r="E38" s="80">
        <f t="shared" si="7"/>
        <v>1062560.5399999996</v>
      </c>
      <c r="F38" s="80">
        <f t="shared" si="7"/>
        <v>1021164.1999999997</v>
      </c>
      <c r="G38" s="80">
        <f t="shared" si="7"/>
        <v>209955.56000000029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755418.1</v>
      </c>
      <c r="C42" s="80">
        <v>130000</v>
      </c>
      <c r="D42" s="80">
        <v>885418.1</v>
      </c>
      <c r="E42" s="80">
        <v>802262.53999999969</v>
      </c>
      <c r="F42" s="80">
        <v>760866.19999999972</v>
      </c>
      <c r="G42" s="80">
        <f t="shared" si="8"/>
        <v>83155.560000000289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387098</v>
      </c>
      <c r="C46" s="80">
        <v>0</v>
      </c>
      <c r="D46" s="80">
        <v>387098</v>
      </c>
      <c r="E46" s="80">
        <v>260298</v>
      </c>
      <c r="F46" s="80">
        <v>260298</v>
      </c>
      <c r="G46" s="80">
        <f t="shared" si="8"/>
        <v>126800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24124810.120000001</v>
      </c>
      <c r="C48" s="80">
        <f t="shared" ref="C48:G48" si="9">SUM(C49:C57)</f>
        <v>6173691.6000000006</v>
      </c>
      <c r="D48" s="80">
        <f t="shared" si="9"/>
        <v>30298501.720000006</v>
      </c>
      <c r="E48" s="80">
        <f t="shared" si="9"/>
        <v>25649686.600000005</v>
      </c>
      <c r="F48" s="80">
        <f t="shared" si="9"/>
        <v>24528539.680000003</v>
      </c>
      <c r="G48" s="80">
        <f t="shared" si="9"/>
        <v>4648815.12</v>
      </c>
    </row>
    <row r="49" spans="1:7" x14ac:dyDescent="0.25">
      <c r="A49" s="84" t="s">
        <v>325</v>
      </c>
      <c r="B49" s="80">
        <v>4835496.95</v>
      </c>
      <c r="C49" s="80">
        <v>1699235.7400000002</v>
      </c>
      <c r="D49" s="80">
        <v>6534732.6900000004</v>
      </c>
      <c r="E49" s="80">
        <v>6254095.6900000004</v>
      </c>
      <c r="F49" s="80">
        <v>6225705.3000000007</v>
      </c>
      <c r="G49" s="80">
        <f>D49-E49</f>
        <v>280637</v>
      </c>
    </row>
    <row r="50" spans="1:7" x14ac:dyDescent="0.25">
      <c r="A50" s="84" t="s">
        <v>326</v>
      </c>
      <c r="B50" s="80">
        <v>36000</v>
      </c>
      <c r="C50" s="80">
        <v>133798.84</v>
      </c>
      <c r="D50" s="80">
        <v>169798.84</v>
      </c>
      <c r="E50" s="80">
        <v>145929.23000000001</v>
      </c>
      <c r="F50" s="80">
        <v>120636.82</v>
      </c>
      <c r="G50" s="80">
        <f t="shared" ref="G50:G57" si="10">D50-E50</f>
        <v>23869.609999999986</v>
      </c>
    </row>
    <row r="51" spans="1:7" x14ac:dyDescent="0.25">
      <c r="A51" s="84" t="s">
        <v>327</v>
      </c>
      <c r="B51" s="80">
        <v>498202.49</v>
      </c>
      <c r="C51" s="80">
        <v>2510240.21</v>
      </c>
      <c r="D51" s="80">
        <v>3008442.7</v>
      </c>
      <c r="E51" s="80">
        <v>1762030.97</v>
      </c>
      <c r="F51" s="80">
        <v>1086986.52</v>
      </c>
      <c r="G51" s="80">
        <f t="shared" si="10"/>
        <v>1246411.7300000002</v>
      </c>
    </row>
    <row r="52" spans="1:7" x14ac:dyDescent="0.25">
      <c r="A52" s="84" t="s">
        <v>328</v>
      </c>
      <c r="B52" s="80">
        <v>971699</v>
      </c>
      <c r="C52" s="80">
        <v>3544792.51</v>
      </c>
      <c r="D52" s="80">
        <v>4516491.51</v>
      </c>
      <c r="E52" s="80">
        <v>3752633.3</v>
      </c>
      <c r="F52" s="80">
        <v>3752633.3</v>
      </c>
      <c r="G52" s="80">
        <f t="shared" si="10"/>
        <v>763858.21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13083411.680000002</v>
      </c>
      <c r="C54" s="80">
        <v>94060.490000000224</v>
      </c>
      <c r="D54" s="80">
        <v>13177472.170000002</v>
      </c>
      <c r="E54" s="80">
        <v>10919987.470000003</v>
      </c>
      <c r="F54" s="80">
        <v>10527567.800000003</v>
      </c>
      <c r="G54" s="80">
        <f t="shared" si="10"/>
        <v>2257484.6999999993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4500000</v>
      </c>
      <c r="C56" s="80">
        <v>-1782796.13</v>
      </c>
      <c r="D56" s="80">
        <v>2717203.87</v>
      </c>
      <c r="E56" s="80">
        <v>2640650</v>
      </c>
      <c r="F56" s="80">
        <v>2640650</v>
      </c>
      <c r="G56" s="80">
        <f t="shared" si="10"/>
        <v>76553.870000000112</v>
      </c>
    </row>
    <row r="57" spans="1:7" x14ac:dyDescent="0.25">
      <c r="A57" s="84" t="s">
        <v>333</v>
      </c>
      <c r="B57" s="80">
        <v>200000</v>
      </c>
      <c r="C57" s="80">
        <v>-25640.059999999998</v>
      </c>
      <c r="D57" s="80">
        <v>174359.94</v>
      </c>
      <c r="E57" s="80">
        <v>174359.94</v>
      </c>
      <c r="F57" s="80">
        <v>174359.94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0</v>
      </c>
      <c r="D58" s="80">
        <f t="shared" si="11"/>
        <v>0</v>
      </c>
      <c r="E58" s="80">
        <f t="shared" si="11"/>
        <v>0</v>
      </c>
      <c r="F58" s="80">
        <f t="shared" si="11"/>
        <v>0</v>
      </c>
      <c r="G58" s="80">
        <f t="shared" si="11"/>
        <v>0</v>
      </c>
    </row>
    <row r="59" spans="1:7" x14ac:dyDescent="0.25">
      <c r="A59" s="84" t="s">
        <v>335</v>
      </c>
      <c r="B59" s="80"/>
      <c r="C59" s="80"/>
      <c r="D59" s="80"/>
      <c r="E59" s="80"/>
      <c r="F59" s="80"/>
      <c r="G59" s="80">
        <f>D59-E59</f>
        <v>0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183615214.93000004</v>
      </c>
      <c r="D62" s="80">
        <f t="shared" si="13"/>
        <v>183615214.93000004</v>
      </c>
      <c r="E62" s="80">
        <f t="shared" si="13"/>
        <v>0</v>
      </c>
      <c r="F62" s="80">
        <f t="shared" si="13"/>
        <v>0</v>
      </c>
      <c r="G62" s="80">
        <f t="shared" si="13"/>
        <v>183615214.93000004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183615214.93000004</v>
      </c>
      <c r="D70" s="80">
        <v>183615214.93000004</v>
      </c>
      <c r="E70" s="80">
        <v>0</v>
      </c>
      <c r="F70" s="80">
        <v>0</v>
      </c>
      <c r="G70" s="80">
        <f t="shared" si="14"/>
        <v>183615214.93000004</v>
      </c>
    </row>
    <row r="71" spans="1:7" x14ac:dyDescent="0.25">
      <c r="A71" s="83" t="s">
        <v>347</v>
      </c>
      <c r="B71" s="80">
        <f>SUM(B72:B74)</f>
        <v>3554517.8</v>
      </c>
      <c r="C71" s="80">
        <f t="shared" ref="C71:G71" si="15">SUM(C72:C74)</f>
        <v>55106273.869999997</v>
      </c>
      <c r="D71" s="80">
        <f t="shared" si="15"/>
        <v>58660791.669999994</v>
      </c>
      <c r="E71" s="80">
        <f t="shared" si="15"/>
        <v>12377379.27</v>
      </c>
      <c r="F71" s="80">
        <f t="shared" si="15"/>
        <v>12377379.27</v>
      </c>
      <c r="G71" s="80">
        <f t="shared" si="15"/>
        <v>46283412.399999991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3554517.8</v>
      </c>
      <c r="C74" s="80">
        <v>55106273.869999997</v>
      </c>
      <c r="D74" s="80">
        <v>58660791.669999994</v>
      </c>
      <c r="E74" s="80">
        <v>12377379.27</v>
      </c>
      <c r="F74" s="80">
        <v>12377379.27</v>
      </c>
      <c r="G74" s="80">
        <f t="shared" si="16"/>
        <v>46283412.399999991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188289052.99000001</v>
      </c>
      <c r="C84" s="79">
        <f t="shared" ref="C84:G84" si="19">SUM(C85,C93,C103,C113,C123,C133,C137,C146,C150)</f>
        <v>201279842.03</v>
      </c>
      <c r="D84" s="79">
        <f t="shared" si="19"/>
        <v>389568895.01999998</v>
      </c>
      <c r="E84" s="79">
        <f t="shared" si="19"/>
        <v>314047698.46000004</v>
      </c>
      <c r="F84" s="79">
        <f t="shared" si="19"/>
        <v>314047698.46000004</v>
      </c>
      <c r="G84" s="79">
        <f t="shared" si="19"/>
        <v>75521196.560000002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188289052.99000001</v>
      </c>
      <c r="C133" s="80">
        <f t="shared" ref="C133:G133" si="30">SUM(C134:C136)</f>
        <v>201279842.03</v>
      </c>
      <c r="D133" s="80">
        <f t="shared" si="30"/>
        <v>389568895.01999998</v>
      </c>
      <c r="E133" s="80">
        <f t="shared" si="30"/>
        <v>314047698.46000004</v>
      </c>
      <c r="F133" s="80">
        <f t="shared" si="30"/>
        <v>314047698.46000004</v>
      </c>
      <c r="G133" s="80">
        <f t="shared" si="30"/>
        <v>75521196.560000002</v>
      </c>
    </row>
    <row r="134" spans="1:7" x14ac:dyDescent="0.25">
      <c r="A134" s="84" t="s">
        <v>335</v>
      </c>
      <c r="B134" s="80">
        <v>148108041.02000001</v>
      </c>
      <c r="C134" s="80">
        <v>172839375.16</v>
      </c>
      <c r="D134" s="80">
        <v>320947416.18000001</v>
      </c>
      <c r="E134" s="80">
        <v>256054105.86000001</v>
      </c>
      <c r="F134" s="80">
        <v>256054105.86000001</v>
      </c>
      <c r="G134" s="80">
        <f>D134-E134</f>
        <v>64893310.319999993</v>
      </c>
    </row>
    <row r="135" spans="1:7" x14ac:dyDescent="0.25">
      <c r="A135" s="84" t="s">
        <v>336</v>
      </c>
      <c r="B135" s="80">
        <v>40181011.970000006</v>
      </c>
      <c r="C135" s="80">
        <v>28440466.869999997</v>
      </c>
      <c r="D135" s="80">
        <v>68621478.840000004</v>
      </c>
      <c r="E135" s="80">
        <v>57993592.600000001</v>
      </c>
      <c r="F135" s="80">
        <v>57993592.600000001</v>
      </c>
      <c r="G135" s="80">
        <f t="shared" ref="G135:G136" si="31">D135-E135</f>
        <v>10627886.240000002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3293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503702454.86600006</v>
      </c>
      <c r="C159" s="79">
        <f t="shared" ref="C159:G159" si="38">C9+C84</f>
        <v>476614325.85399997</v>
      </c>
      <c r="D159" s="79">
        <f t="shared" si="38"/>
        <v>980316780.72000003</v>
      </c>
      <c r="E159" s="79">
        <f t="shared" si="38"/>
        <v>654070976.43000007</v>
      </c>
      <c r="F159" s="79">
        <f t="shared" si="38"/>
        <v>650953897.77999997</v>
      </c>
      <c r="G159" s="79">
        <f t="shared" si="38"/>
        <v>326245804.29000002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315413401.87600005</v>
      </c>
      <c r="Q2" s="18">
        <f>'Formato 6 a)'!C9</f>
        <v>275334483.824</v>
      </c>
      <c r="R2" s="18">
        <f>'Formato 6 a)'!D9</f>
        <v>590747885.70000005</v>
      </c>
      <c r="S2" s="18">
        <f>'Formato 6 a)'!E9</f>
        <v>340023277.97000009</v>
      </c>
      <c r="T2" s="18">
        <f>'Formato 6 a)'!F9</f>
        <v>336906199.31999999</v>
      </c>
      <c r="U2" s="18">
        <f>'Formato 6 a)'!G9</f>
        <v>250724607.73000002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111506093.57600001</v>
      </c>
      <c r="Q3" s="18">
        <f>'Formato 6 a)'!C10</f>
        <v>3.9999615401029587E-3</v>
      </c>
      <c r="R3" s="18">
        <f>'Formato 6 a)'!D10</f>
        <v>111506093.57999995</v>
      </c>
      <c r="S3" s="18">
        <f>'Formato 6 a)'!E10</f>
        <v>109213604.25999999</v>
      </c>
      <c r="T3" s="18">
        <f>'Formato 6 a)'!F10</f>
        <v>109213604.25999999</v>
      </c>
      <c r="U3" s="18">
        <f>'Formato 6 a)'!G10</f>
        <v>2292489.3199999798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59468543.446000002</v>
      </c>
      <c r="Q4" s="18">
        <f>'Formato 6 a)'!C11</f>
        <v>-609575.66600002348</v>
      </c>
      <c r="R4" s="18">
        <f>'Formato 6 a)'!D11</f>
        <v>58858967.779999979</v>
      </c>
      <c r="S4" s="18">
        <f>'Formato 6 a)'!E11</f>
        <v>58678821.349999987</v>
      </c>
      <c r="T4" s="18">
        <f>'Formato 6 a)'!F11</f>
        <v>58678821.349999987</v>
      </c>
      <c r="U4" s="18">
        <f>'Formato 6 a)'!G11</f>
        <v>180146.42999999225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104500</v>
      </c>
      <c r="Q5" s="18">
        <f>'Formato 6 a)'!C12</f>
        <v>-15000</v>
      </c>
      <c r="R5" s="18">
        <f>'Formato 6 a)'!D12</f>
        <v>89500</v>
      </c>
      <c r="S5" s="18">
        <f>'Formato 6 a)'!E12</f>
        <v>72000</v>
      </c>
      <c r="T5" s="18">
        <f>'Formato 6 a)'!F12</f>
        <v>72000</v>
      </c>
      <c r="U5" s="18">
        <f>'Formato 6 a)'!G12</f>
        <v>17500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12192747.420000002</v>
      </c>
      <c r="Q6" s="18">
        <f>'Formato 6 a)'!C13</f>
        <v>259575.66999999993</v>
      </c>
      <c r="R6" s="18">
        <f>'Formato 6 a)'!D13</f>
        <v>12452323.090000002</v>
      </c>
      <c r="S6" s="18">
        <f>'Formato 6 a)'!E13</f>
        <v>12130243.310000006</v>
      </c>
      <c r="T6" s="18">
        <f>'Formato 6 a)'!F13</f>
        <v>12130243.310000006</v>
      </c>
      <c r="U6" s="18">
        <f>'Formato 6 a)'!G13</f>
        <v>322079.7799999956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19206239.810000002</v>
      </c>
      <c r="Q7" s="18">
        <f>'Formato 6 a)'!C14</f>
        <v>-2480852.040000014</v>
      </c>
      <c r="R7" s="18">
        <f>'Formato 6 a)'!D14</f>
        <v>16725387.769999988</v>
      </c>
      <c r="S7" s="18">
        <f>'Formato 6 a)'!E14</f>
        <v>15284224.200000007</v>
      </c>
      <c r="T7" s="18">
        <f>'Formato 6 a)'!F14</f>
        <v>15284224.200000007</v>
      </c>
      <c r="U7" s="18">
        <f>'Formato 6 a)'!G14</f>
        <v>1441163.5699999817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20534062.900000002</v>
      </c>
      <c r="Q8" s="18">
        <f>'Formato 6 a)'!C15</f>
        <v>2830852.0399999991</v>
      </c>
      <c r="R8" s="18">
        <f>'Formato 6 a)'!D15</f>
        <v>23364914.940000001</v>
      </c>
      <c r="S8" s="18">
        <f>'Formato 6 a)'!E15</f>
        <v>23048315.399999991</v>
      </c>
      <c r="T8" s="18">
        <f>'Formato 6 a)'!F15</f>
        <v>23048315.399999991</v>
      </c>
      <c r="U8" s="18">
        <f>'Formato 6 a)'!G15</f>
        <v>316599.54000001028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0</v>
      </c>
      <c r="Q9" s="18">
        <f>'Formato 6 a)'!C16</f>
        <v>15000</v>
      </c>
      <c r="R9" s="18">
        <f>'Formato 6 a)'!D16</f>
        <v>15000</v>
      </c>
      <c r="S9" s="18">
        <f>'Formato 6 a)'!E16</f>
        <v>0</v>
      </c>
      <c r="T9" s="18">
        <f>'Formato 6 a)'!F16</f>
        <v>0</v>
      </c>
      <c r="U9" s="18">
        <f>'Formato 6 a)'!G16</f>
        <v>15000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62123181.030000001</v>
      </c>
      <c r="Q11" s="18">
        <f>'Formato 6 a)'!C18</f>
        <v>-4293786.8999999948</v>
      </c>
      <c r="R11" s="18">
        <f>'Formato 6 a)'!D18</f>
        <v>57829394.129999995</v>
      </c>
      <c r="S11" s="18">
        <f>'Formato 6 a)'!E18</f>
        <v>51125851.470000006</v>
      </c>
      <c r="T11" s="18">
        <f>'Formato 6 a)'!F18</f>
        <v>49398870.620000005</v>
      </c>
      <c r="U11" s="18">
        <f>'Formato 6 a)'!G18</f>
        <v>6703542.6599999852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1738063.4299999992</v>
      </c>
      <c r="Q12" s="18">
        <f>'Formato 6 a)'!C19</f>
        <v>-193913.78999999934</v>
      </c>
      <c r="R12" s="18">
        <f>'Formato 6 a)'!D19</f>
        <v>1544149.64</v>
      </c>
      <c r="S12" s="18">
        <f>'Formato 6 a)'!E19</f>
        <v>1352819.5099999993</v>
      </c>
      <c r="T12" s="18">
        <f>'Formato 6 a)'!F19</f>
        <v>1321461.6499999992</v>
      </c>
      <c r="U12" s="18">
        <f>'Formato 6 a)'!G19</f>
        <v>191330.13000000059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458385.40000000008</v>
      </c>
      <c r="Q13" s="18">
        <f>'Formato 6 a)'!C20</f>
        <v>-8878.6200000001118</v>
      </c>
      <c r="R13" s="18">
        <f>'Formato 6 a)'!D20</f>
        <v>449506.77999999997</v>
      </c>
      <c r="S13" s="18">
        <f>'Formato 6 a)'!E20</f>
        <v>398900.61000000016</v>
      </c>
      <c r="T13" s="18">
        <f>'Formato 6 a)'!F20</f>
        <v>398900.61000000016</v>
      </c>
      <c r="U13" s="18">
        <f>'Formato 6 a)'!G20</f>
        <v>50606.169999999809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492518.56</v>
      </c>
      <c r="Q14" s="18">
        <f>'Formato 6 a)'!C21</f>
        <v>55813.22000000003</v>
      </c>
      <c r="R14" s="18">
        <f>'Formato 6 a)'!D21</f>
        <v>548331.78</v>
      </c>
      <c r="S14" s="18">
        <f>'Formato 6 a)'!E21</f>
        <v>518233.27000000008</v>
      </c>
      <c r="T14" s="18">
        <f>'Formato 6 a)'!F21</f>
        <v>458067.83000000007</v>
      </c>
      <c r="U14" s="18">
        <f>'Formato 6 a)'!G21</f>
        <v>30098.509999999951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19280160.339999992</v>
      </c>
      <c r="Q15" s="18">
        <f>'Formato 6 a)'!C22</f>
        <v>80817.410000003874</v>
      </c>
      <c r="R15" s="18">
        <f>'Formato 6 a)'!D22</f>
        <v>19360977.749999996</v>
      </c>
      <c r="S15" s="18">
        <f>'Formato 6 a)'!E22</f>
        <v>16727899.000000004</v>
      </c>
      <c r="T15" s="18">
        <f>'Formato 6 a)'!F22</f>
        <v>15898031.360000001</v>
      </c>
      <c r="U15" s="18">
        <f>'Formato 6 a)'!G22</f>
        <v>2633078.7499999925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26793938.240000002</v>
      </c>
      <c r="Q16" s="18">
        <f>'Formato 6 a)'!C23</f>
        <v>-6516482.9499999993</v>
      </c>
      <c r="R16" s="18">
        <f>'Formato 6 a)'!D23</f>
        <v>20277455.290000003</v>
      </c>
      <c r="S16" s="18">
        <f>'Formato 6 a)'!E23</f>
        <v>16576889.470000012</v>
      </c>
      <c r="T16" s="18">
        <f>'Formato 6 a)'!F23</f>
        <v>16018371.030000005</v>
      </c>
      <c r="U16" s="18">
        <f>'Formato 6 a)'!G23</f>
        <v>3700565.819999991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8499680</v>
      </c>
      <c r="Q17" s="18">
        <f>'Formato 6 a)'!C24</f>
        <v>2742490.5</v>
      </c>
      <c r="R17" s="18">
        <f>'Formato 6 a)'!D24</f>
        <v>11242170.5</v>
      </c>
      <c r="S17" s="18">
        <f>'Formato 6 a)'!E24</f>
        <v>11235148.089999998</v>
      </c>
      <c r="T17" s="18">
        <f>'Formato 6 a)'!F24</f>
        <v>11235148.089999998</v>
      </c>
      <c r="U17" s="18">
        <f>'Formato 6 a)'!G24</f>
        <v>7022.4100000020117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2405991.11</v>
      </c>
      <c r="Q18" s="18">
        <f>'Formato 6 a)'!C25</f>
        <v>-202863.91999999946</v>
      </c>
      <c r="R18" s="18">
        <f>'Formato 6 a)'!D25</f>
        <v>2203127.1900000004</v>
      </c>
      <c r="S18" s="18">
        <f>'Formato 6 a)'!E25</f>
        <v>2166563.7600000012</v>
      </c>
      <c r="T18" s="18">
        <f>'Formato 6 a)'!F25</f>
        <v>2144350.9600000014</v>
      </c>
      <c r="U18" s="18">
        <f>'Formato 6 a)'!G25</f>
        <v>36563.429999999236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2454443.9500000002</v>
      </c>
      <c r="Q20" s="18">
        <f>'Formato 6 a)'!C27</f>
        <v>-250768.75</v>
      </c>
      <c r="R20" s="18">
        <f>'Formato 6 a)'!D27</f>
        <v>2203675.2000000002</v>
      </c>
      <c r="S20" s="18">
        <f>'Formato 6 a)'!E27</f>
        <v>2149397.7600000007</v>
      </c>
      <c r="T20" s="18">
        <f>'Formato 6 a)'!F27</f>
        <v>1924539.0900000003</v>
      </c>
      <c r="U20" s="18">
        <f>'Formato 6 a)'!G27</f>
        <v>54277.439999999478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112962283.24999999</v>
      </c>
      <c r="Q21" s="18">
        <f>'Formato 6 a)'!C28</f>
        <v>34603090.320000023</v>
      </c>
      <c r="R21" s="18">
        <f>'Formato 6 a)'!D28</f>
        <v>147565373.57000002</v>
      </c>
      <c r="S21" s="18">
        <f>'Formato 6 a)'!E28</f>
        <v>140594195.83000004</v>
      </c>
      <c r="T21" s="18">
        <f>'Formato 6 a)'!F28</f>
        <v>140366641.29000002</v>
      </c>
      <c r="U21" s="18">
        <f>'Formato 6 a)'!G28</f>
        <v>6971177.7400000067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63177890.57</v>
      </c>
      <c r="Q22" s="18">
        <f>'Formato 6 a)'!C29</f>
        <v>21949446.810000025</v>
      </c>
      <c r="R22" s="18">
        <f>'Formato 6 a)'!D29</f>
        <v>85127337.380000025</v>
      </c>
      <c r="S22" s="18">
        <f>'Formato 6 a)'!E29</f>
        <v>82812180.420000032</v>
      </c>
      <c r="T22" s="18">
        <f>'Formato 6 a)'!F29</f>
        <v>82812180.420000032</v>
      </c>
      <c r="U22" s="18">
        <f>'Formato 6 a)'!G29</f>
        <v>2315156.9599999934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1289940.3999999999</v>
      </c>
      <c r="Q23" s="18">
        <f>'Formato 6 a)'!C30</f>
        <v>666407.18999999994</v>
      </c>
      <c r="R23" s="18">
        <f>'Formato 6 a)'!D30</f>
        <v>1956347.5899999999</v>
      </c>
      <c r="S23" s="18">
        <f>'Formato 6 a)'!E30</f>
        <v>1935667.42</v>
      </c>
      <c r="T23" s="18">
        <f>'Formato 6 a)'!F30</f>
        <v>1929353.52</v>
      </c>
      <c r="U23" s="18">
        <f>'Formato 6 a)'!G30</f>
        <v>20680.169999999925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8046947.0100000007</v>
      </c>
      <c r="Q24" s="18">
        <f>'Formato 6 a)'!C31</f>
        <v>1637284.0299999984</v>
      </c>
      <c r="R24" s="18">
        <f>'Formato 6 a)'!D31</f>
        <v>9684231.0399999991</v>
      </c>
      <c r="S24" s="18">
        <f>'Formato 6 a)'!E31</f>
        <v>8707269.0800000001</v>
      </c>
      <c r="T24" s="18">
        <f>'Formato 6 a)'!F31</f>
        <v>8647812.5800000001</v>
      </c>
      <c r="U24" s="18">
        <f>'Formato 6 a)'!G31</f>
        <v>976961.95999999903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4214326.2300000004</v>
      </c>
      <c r="Q25" s="18">
        <f>'Formato 6 a)'!C32</f>
        <v>850459.51999999955</v>
      </c>
      <c r="R25" s="18">
        <f>'Formato 6 a)'!D32</f>
        <v>5064785.75</v>
      </c>
      <c r="S25" s="18">
        <f>'Formato 6 a)'!E32</f>
        <v>3579039.6999999965</v>
      </c>
      <c r="T25" s="18">
        <f>'Formato 6 a)'!F32</f>
        <v>3487443.6899999972</v>
      </c>
      <c r="U25" s="18">
        <f>'Formato 6 a)'!G32</f>
        <v>1485746.0500000035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10117476.35</v>
      </c>
      <c r="Q26" s="18">
        <f>'Formato 6 a)'!C33</f>
        <v>5995327.75</v>
      </c>
      <c r="R26" s="18">
        <f>'Formato 6 a)'!D33</f>
        <v>16112804.1</v>
      </c>
      <c r="S26" s="18">
        <f>'Formato 6 a)'!E33</f>
        <v>14595395.869999984</v>
      </c>
      <c r="T26" s="18">
        <f>'Formato 6 a)'!F33</f>
        <v>14527608.939999985</v>
      </c>
      <c r="U26" s="18">
        <f>'Formato 6 a)'!G33</f>
        <v>1517408.2300000153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2103565.4900000002</v>
      </c>
      <c r="Q27" s="18">
        <f>'Formato 6 a)'!C34</f>
        <v>548613.09999999963</v>
      </c>
      <c r="R27" s="18">
        <f>'Formato 6 a)'!D34</f>
        <v>2652178.59</v>
      </c>
      <c r="S27" s="18">
        <f>'Formato 6 a)'!E34</f>
        <v>2502097.62</v>
      </c>
      <c r="T27" s="18">
        <f>'Formato 6 a)'!F34</f>
        <v>2499696.42</v>
      </c>
      <c r="U27" s="18">
        <f>'Formato 6 a)'!G34</f>
        <v>150080.96999999974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354947.05</v>
      </c>
      <c r="Q28" s="18">
        <f>'Formato 6 a)'!C35</f>
        <v>-186024.88</v>
      </c>
      <c r="R28" s="18">
        <f>'Formato 6 a)'!D35</f>
        <v>168922.16999999998</v>
      </c>
      <c r="S28" s="18">
        <f>'Formato 6 a)'!E35</f>
        <v>109041.85999999999</v>
      </c>
      <c r="T28" s="18">
        <f>'Formato 6 a)'!F35</f>
        <v>109041.85999999999</v>
      </c>
      <c r="U28" s="18">
        <f>'Formato 6 a)'!G35</f>
        <v>59880.31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378797.66000000003</v>
      </c>
      <c r="Q29" s="18">
        <f>'Formato 6 a)'!C36</f>
        <v>9235.0199999999604</v>
      </c>
      <c r="R29" s="18">
        <f>'Formato 6 a)'!D36</f>
        <v>388032.68</v>
      </c>
      <c r="S29" s="18">
        <f>'Formato 6 a)'!E36</f>
        <v>308061.59000000003</v>
      </c>
      <c r="T29" s="18">
        <f>'Formato 6 a)'!F36</f>
        <v>308061.59000000003</v>
      </c>
      <c r="U29" s="18">
        <f>'Formato 6 a)'!G36</f>
        <v>79971.089999999967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23278392.489999998</v>
      </c>
      <c r="Q30" s="18">
        <f>'Formato 6 a)'!C37</f>
        <v>3132341.7800000012</v>
      </c>
      <c r="R30" s="18">
        <f>'Formato 6 a)'!D37</f>
        <v>26410734.27</v>
      </c>
      <c r="S30" s="18">
        <f>'Formato 6 a)'!E37</f>
        <v>26045442.270000003</v>
      </c>
      <c r="T30" s="18">
        <f>'Formato 6 a)'!F37</f>
        <v>26045442.270000003</v>
      </c>
      <c r="U30" s="18">
        <f>'Formato 6 a)'!G37</f>
        <v>365291.99999999627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1142516.1000000001</v>
      </c>
      <c r="Q31" s="18">
        <f>'Formato 6 a)'!C38</f>
        <v>130000</v>
      </c>
      <c r="R31" s="18">
        <f>'Formato 6 a)'!D38</f>
        <v>1272516.1000000001</v>
      </c>
      <c r="S31" s="18">
        <f>'Formato 6 a)'!E38</f>
        <v>1062560.5399999996</v>
      </c>
      <c r="T31" s="18">
        <f>'Formato 6 a)'!F38</f>
        <v>1021164.1999999997</v>
      </c>
      <c r="U31" s="18">
        <f>'Formato 6 a)'!G38</f>
        <v>209955.56000000029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755418.1</v>
      </c>
      <c r="Q35" s="18">
        <f>'Formato 6 a)'!C42</f>
        <v>130000</v>
      </c>
      <c r="R35" s="18">
        <f>'Formato 6 a)'!D42</f>
        <v>885418.1</v>
      </c>
      <c r="S35" s="18">
        <f>'Formato 6 a)'!E42</f>
        <v>802262.53999999969</v>
      </c>
      <c r="T35" s="18">
        <f>'Formato 6 a)'!F42</f>
        <v>760866.19999999972</v>
      </c>
      <c r="U35" s="18">
        <f>'Formato 6 a)'!G42</f>
        <v>83155.560000000289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387098</v>
      </c>
      <c r="Q39" s="18">
        <f>'Formato 6 a)'!C46</f>
        <v>0</v>
      </c>
      <c r="R39" s="18">
        <f>'Formato 6 a)'!D46</f>
        <v>387098</v>
      </c>
      <c r="S39" s="18">
        <f>'Formato 6 a)'!E46</f>
        <v>260298</v>
      </c>
      <c r="T39" s="18">
        <f>'Formato 6 a)'!F46</f>
        <v>260298</v>
      </c>
      <c r="U39" s="18">
        <f>'Formato 6 a)'!G46</f>
        <v>126800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24124810.120000001</v>
      </c>
      <c r="Q41" s="18">
        <f>'Formato 6 a)'!C48</f>
        <v>6173691.6000000006</v>
      </c>
      <c r="R41" s="18">
        <f>'Formato 6 a)'!D48</f>
        <v>30298501.720000006</v>
      </c>
      <c r="S41" s="18">
        <f>'Formato 6 a)'!E48</f>
        <v>25649686.600000005</v>
      </c>
      <c r="T41" s="18">
        <f>'Formato 6 a)'!F48</f>
        <v>24528539.680000003</v>
      </c>
      <c r="U41" s="18">
        <f>'Formato 6 a)'!G48</f>
        <v>4648815.12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4835496.95</v>
      </c>
      <c r="Q42" s="18">
        <f>'Formato 6 a)'!C49</f>
        <v>1699235.7400000002</v>
      </c>
      <c r="R42" s="18">
        <f>'Formato 6 a)'!D49</f>
        <v>6534732.6900000004</v>
      </c>
      <c r="S42" s="18">
        <f>'Formato 6 a)'!E49</f>
        <v>6254095.6900000004</v>
      </c>
      <c r="T42" s="18">
        <f>'Formato 6 a)'!F49</f>
        <v>6225705.3000000007</v>
      </c>
      <c r="U42" s="18">
        <f>'Formato 6 a)'!G49</f>
        <v>280637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36000</v>
      </c>
      <c r="Q43" s="18">
        <f>'Formato 6 a)'!C50</f>
        <v>133798.84</v>
      </c>
      <c r="R43" s="18">
        <f>'Formato 6 a)'!D50</f>
        <v>169798.84</v>
      </c>
      <c r="S43" s="18">
        <f>'Formato 6 a)'!E50</f>
        <v>145929.23000000001</v>
      </c>
      <c r="T43" s="18">
        <f>'Formato 6 a)'!F50</f>
        <v>120636.82</v>
      </c>
      <c r="U43" s="18">
        <f>'Formato 6 a)'!G50</f>
        <v>23869.609999999986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498202.49</v>
      </c>
      <c r="Q44" s="18">
        <f>'Formato 6 a)'!C51</f>
        <v>2510240.21</v>
      </c>
      <c r="R44" s="18">
        <f>'Formato 6 a)'!D51</f>
        <v>3008442.7</v>
      </c>
      <c r="S44" s="18">
        <f>'Formato 6 a)'!E51</f>
        <v>1762030.97</v>
      </c>
      <c r="T44" s="18">
        <f>'Formato 6 a)'!F51</f>
        <v>1086986.52</v>
      </c>
      <c r="U44" s="18">
        <f>'Formato 6 a)'!G51</f>
        <v>1246411.7300000002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971699</v>
      </c>
      <c r="Q45" s="18">
        <f>'Formato 6 a)'!C52</f>
        <v>3544792.51</v>
      </c>
      <c r="R45" s="18">
        <f>'Formato 6 a)'!D52</f>
        <v>4516491.51</v>
      </c>
      <c r="S45" s="18">
        <f>'Formato 6 a)'!E52</f>
        <v>3752633.3</v>
      </c>
      <c r="T45" s="18">
        <f>'Formato 6 a)'!F52</f>
        <v>3752633.3</v>
      </c>
      <c r="U45" s="18">
        <f>'Formato 6 a)'!G52</f>
        <v>763858.21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13083411.680000002</v>
      </c>
      <c r="Q47" s="18">
        <f>'Formato 6 a)'!C54</f>
        <v>94060.490000000224</v>
      </c>
      <c r="R47" s="18">
        <f>'Formato 6 a)'!D54</f>
        <v>13177472.170000002</v>
      </c>
      <c r="S47" s="18">
        <f>'Formato 6 a)'!E54</f>
        <v>10919987.470000003</v>
      </c>
      <c r="T47" s="18">
        <f>'Formato 6 a)'!F54</f>
        <v>10527567.800000003</v>
      </c>
      <c r="U47" s="18">
        <f>'Formato 6 a)'!G54</f>
        <v>2257484.6999999993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4500000</v>
      </c>
      <c r="Q49" s="18">
        <f>'Formato 6 a)'!C56</f>
        <v>-1782796.13</v>
      </c>
      <c r="R49" s="18">
        <f>'Formato 6 a)'!D56</f>
        <v>2717203.87</v>
      </c>
      <c r="S49" s="18">
        <f>'Formato 6 a)'!E56</f>
        <v>2640650</v>
      </c>
      <c r="T49" s="18">
        <f>'Formato 6 a)'!F56</f>
        <v>2640650</v>
      </c>
      <c r="U49" s="18">
        <f>'Formato 6 a)'!G56</f>
        <v>76553.870000000112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200000</v>
      </c>
      <c r="Q50" s="18">
        <f>'Formato 6 a)'!C57</f>
        <v>-25640.059999999998</v>
      </c>
      <c r="R50" s="18">
        <f>'Formato 6 a)'!D57</f>
        <v>174359.94</v>
      </c>
      <c r="S50" s="18">
        <f>'Formato 6 a)'!E57</f>
        <v>174359.94</v>
      </c>
      <c r="T50" s="18">
        <f>'Formato 6 a)'!F57</f>
        <v>174359.94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183615214.93000004</v>
      </c>
      <c r="R55" s="18">
        <f>'Formato 6 a)'!D62</f>
        <v>183615214.93000004</v>
      </c>
      <c r="S55" s="18">
        <f>'Formato 6 a)'!E62</f>
        <v>0</v>
      </c>
      <c r="T55" s="18">
        <f>'Formato 6 a)'!F62</f>
        <v>0</v>
      </c>
      <c r="U55" s="18">
        <f>'Formato 6 a)'!G62</f>
        <v>183615214.93000004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183615214.93000004</v>
      </c>
      <c r="R63" s="18">
        <f>'Formato 6 a)'!D70</f>
        <v>183615214.93000004</v>
      </c>
      <c r="S63" s="18">
        <f>'Formato 6 a)'!E70</f>
        <v>0</v>
      </c>
      <c r="T63" s="18">
        <f>'Formato 6 a)'!F70</f>
        <v>0</v>
      </c>
      <c r="U63" s="18">
        <f>'Formato 6 a)'!G70</f>
        <v>183615214.93000004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3554517.8</v>
      </c>
      <c r="Q64" s="18">
        <f>'Formato 6 a)'!C71</f>
        <v>55106273.869999997</v>
      </c>
      <c r="R64" s="18">
        <f>'Formato 6 a)'!D71</f>
        <v>58660791.669999994</v>
      </c>
      <c r="S64" s="18">
        <f>'Formato 6 a)'!E71</f>
        <v>12377379.27</v>
      </c>
      <c r="T64" s="18">
        <f>'Formato 6 a)'!F71</f>
        <v>12377379.27</v>
      </c>
      <c r="U64" s="18">
        <f>'Formato 6 a)'!G71</f>
        <v>46283412.399999991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3554517.8</v>
      </c>
      <c r="Q67" s="18">
        <f>'Formato 6 a)'!C74</f>
        <v>55106273.869999997</v>
      </c>
      <c r="R67" s="18">
        <f>'Formato 6 a)'!D74</f>
        <v>58660791.669999994</v>
      </c>
      <c r="S67" s="18">
        <f>'Formato 6 a)'!E74</f>
        <v>12377379.27</v>
      </c>
      <c r="T67" s="18">
        <f>'Formato 6 a)'!F74</f>
        <v>12377379.27</v>
      </c>
      <c r="U67" s="18">
        <f>'Formato 6 a)'!G74</f>
        <v>46283412.399999991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188289052.99000001</v>
      </c>
      <c r="Q76">
        <f>'Formato 6 a)'!C84</f>
        <v>201279842.03</v>
      </c>
      <c r="R76">
        <f>'Formato 6 a)'!D84</f>
        <v>389568895.01999998</v>
      </c>
      <c r="S76">
        <f>'Formato 6 a)'!E84</f>
        <v>314047698.46000004</v>
      </c>
      <c r="T76">
        <f>'Formato 6 a)'!F84</f>
        <v>314047698.46000004</v>
      </c>
      <c r="U76">
        <f>'Formato 6 a)'!G84</f>
        <v>75521196.560000002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188289052.99000001</v>
      </c>
      <c r="Q125">
        <f>'Formato 6 a)'!C133</f>
        <v>201279842.03</v>
      </c>
      <c r="R125">
        <f>'Formato 6 a)'!D133</f>
        <v>389568895.01999998</v>
      </c>
      <c r="S125">
        <f>'Formato 6 a)'!E133</f>
        <v>314047698.46000004</v>
      </c>
      <c r="T125">
        <f>'Formato 6 a)'!F133</f>
        <v>314047698.46000004</v>
      </c>
      <c r="U125">
        <f>'Formato 6 a)'!G133</f>
        <v>75521196.560000002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148108041.02000001</v>
      </c>
      <c r="Q126">
        <f>'Formato 6 a)'!C134</f>
        <v>172839375.16</v>
      </c>
      <c r="R126">
        <f>'Formato 6 a)'!D134</f>
        <v>320947416.18000001</v>
      </c>
      <c r="S126">
        <f>'Formato 6 a)'!E134</f>
        <v>256054105.86000001</v>
      </c>
      <c r="T126">
        <f>'Formato 6 a)'!F134</f>
        <v>256054105.86000001</v>
      </c>
      <c r="U126">
        <f>'Formato 6 a)'!G134</f>
        <v>64893310.319999993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40181011.970000006</v>
      </c>
      <c r="Q127">
        <f>'Formato 6 a)'!C135</f>
        <v>28440466.869999997</v>
      </c>
      <c r="R127">
        <f>'Formato 6 a)'!D135</f>
        <v>68621478.840000004</v>
      </c>
      <c r="S127">
        <f>'Formato 6 a)'!E135</f>
        <v>57993592.600000001</v>
      </c>
      <c r="T127">
        <f>'Formato 6 a)'!F135</f>
        <v>57993592.600000001</v>
      </c>
      <c r="U127">
        <f>'Formato 6 a)'!G135</f>
        <v>10627886.240000002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503702454.86600006</v>
      </c>
      <c r="Q150">
        <f>'Formato 6 a)'!C159</f>
        <v>476614325.85399997</v>
      </c>
      <c r="R150">
        <f>'Formato 6 a)'!D159</f>
        <v>980316780.72000003</v>
      </c>
      <c r="S150">
        <f>'Formato 6 a)'!E159</f>
        <v>654070976.43000007</v>
      </c>
      <c r="T150">
        <f>'Formato 6 a)'!F159</f>
        <v>650953897.77999997</v>
      </c>
      <c r="U150">
        <f>'Formato 6 a)'!G159</f>
        <v>326245804.29000002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50"/>
  <sheetViews>
    <sheetView showGridLines="0" topLeftCell="A23" workbookViewId="0">
      <selection activeCell="D144" sqref="D14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3" t="s">
        <v>3282</v>
      </c>
      <c r="B1" s="173"/>
      <c r="C1" s="173"/>
      <c r="D1" s="173"/>
      <c r="E1" s="173"/>
      <c r="F1" s="173"/>
      <c r="G1" s="173"/>
    </row>
    <row r="2" spans="1:7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431</v>
      </c>
      <c r="B4" s="158"/>
      <c r="C4" s="158"/>
      <c r="D4" s="158"/>
      <c r="E4" s="158"/>
      <c r="F4" s="158"/>
      <c r="G4" s="159"/>
    </row>
    <row r="5" spans="1:7" x14ac:dyDescent="0.2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0</v>
      </c>
      <c r="B7" s="171" t="s">
        <v>279</v>
      </c>
      <c r="C7" s="171"/>
      <c r="D7" s="171"/>
      <c r="E7" s="171"/>
      <c r="F7" s="171"/>
      <c r="G7" s="175" t="s">
        <v>280</v>
      </c>
    </row>
    <row r="8" spans="1:7" ht="30" x14ac:dyDescent="0.25">
      <c r="A8" s="17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4"/>
    </row>
    <row r="9" spans="1:7" x14ac:dyDescent="0.25">
      <c r="A9" s="52" t="s">
        <v>432</v>
      </c>
      <c r="B9" s="59">
        <f>SUM(B10:GASTO_NE_FIN_01)</f>
        <v>315413401.87600005</v>
      </c>
      <c r="C9" s="59">
        <f>SUM(C10:GASTO_NE_FIN_02)</f>
        <v>275334483.824</v>
      </c>
      <c r="D9" s="59">
        <f>SUM(D10:GASTO_NE_FIN_03)</f>
        <v>590747885.69999993</v>
      </c>
      <c r="E9" s="59">
        <f>SUM(E10:GASTO_NE_FIN_04)</f>
        <v>340023277.96999985</v>
      </c>
      <c r="F9" s="59">
        <f>SUM(F10:GASTO_NE_FIN_05)</f>
        <v>336906199.31999993</v>
      </c>
      <c r="G9" s="59">
        <f>SUM(G10:GASTO_NE_FIN_06)</f>
        <v>250724607.73000005</v>
      </c>
    </row>
    <row r="10" spans="1:7" s="24" customFormat="1" x14ac:dyDescent="0.25">
      <c r="A10" s="144" t="s">
        <v>3297</v>
      </c>
      <c r="B10" s="60">
        <v>2123841.92</v>
      </c>
      <c r="C10" s="60">
        <v>-67514.820000000065</v>
      </c>
      <c r="D10" s="60">
        <v>2056327.0999999999</v>
      </c>
      <c r="E10" s="60">
        <v>1952864.65</v>
      </c>
      <c r="F10" s="60">
        <v>1952864.65</v>
      </c>
      <c r="G10" s="77">
        <f>D10-E10</f>
        <v>103462.44999999995</v>
      </c>
    </row>
    <row r="11" spans="1:7" s="24" customFormat="1" x14ac:dyDescent="0.25">
      <c r="A11" s="144" t="s">
        <v>3298</v>
      </c>
      <c r="B11" s="60">
        <v>2101709.5700000003</v>
      </c>
      <c r="C11" s="60">
        <v>-72835.560000000289</v>
      </c>
      <c r="D11" s="60">
        <v>2028874.01</v>
      </c>
      <c r="E11" s="60">
        <v>1999712.9100000001</v>
      </c>
      <c r="F11" s="60">
        <v>1999712.9100000001</v>
      </c>
      <c r="G11" s="77">
        <f t="shared" ref="G11:G67" si="0">D11-E11</f>
        <v>29161.09999999986</v>
      </c>
    </row>
    <row r="12" spans="1:7" s="24" customFormat="1" x14ac:dyDescent="0.25">
      <c r="A12" s="144" t="s">
        <v>3299</v>
      </c>
      <c r="B12" s="60">
        <v>3761862.73</v>
      </c>
      <c r="C12" s="60">
        <v>379842.04999999981</v>
      </c>
      <c r="D12" s="60">
        <v>4141704.78</v>
      </c>
      <c r="E12" s="60">
        <v>3731496.1700000004</v>
      </c>
      <c r="F12" s="60">
        <v>3731496.1700000004</v>
      </c>
      <c r="G12" s="77">
        <f t="shared" ref="G12:G33" si="1">D12-E12</f>
        <v>410208.6099999994</v>
      </c>
    </row>
    <row r="13" spans="1:7" s="24" customFormat="1" x14ac:dyDescent="0.25">
      <c r="A13" s="144" t="s">
        <v>3300</v>
      </c>
      <c r="B13" s="60">
        <v>4933313.9600000009</v>
      </c>
      <c r="C13" s="60">
        <v>-167379.76000000071</v>
      </c>
      <c r="D13" s="60">
        <v>4765934.2</v>
      </c>
      <c r="E13" s="60">
        <v>4494510.0700000012</v>
      </c>
      <c r="F13" s="60">
        <v>4424060.1700000009</v>
      </c>
      <c r="G13" s="77">
        <f t="shared" si="1"/>
        <v>271424.12999999896</v>
      </c>
    </row>
    <row r="14" spans="1:7" s="24" customFormat="1" x14ac:dyDescent="0.25">
      <c r="A14" s="144" t="s">
        <v>3301</v>
      </c>
      <c r="B14" s="60">
        <v>1682640.29</v>
      </c>
      <c r="C14" s="60">
        <v>159364.08000000007</v>
      </c>
      <c r="D14" s="60">
        <v>1842004.37</v>
      </c>
      <c r="E14" s="60">
        <v>1723917.3900000008</v>
      </c>
      <c r="F14" s="60">
        <v>1723917.3900000008</v>
      </c>
      <c r="G14" s="77">
        <f t="shared" si="1"/>
        <v>118086.97999999928</v>
      </c>
    </row>
    <row r="15" spans="1:7" s="24" customFormat="1" x14ac:dyDescent="0.25">
      <c r="A15" s="144" t="s">
        <v>3302</v>
      </c>
      <c r="B15" s="60">
        <v>636677.3400000002</v>
      </c>
      <c r="C15" s="60">
        <v>-21673.090000000084</v>
      </c>
      <c r="D15" s="60">
        <v>615004.25000000012</v>
      </c>
      <c r="E15" s="60">
        <v>599314.67999999993</v>
      </c>
      <c r="F15" s="60">
        <v>599314.67999999993</v>
      </c>
      <c r="G15" s="77">
        <f t="shared" si="1"/>
        <v>15689.570000000182</v>
      </c>
    </row>
    <row r="16" spans="1:7" s="24" customFormat="1" x14ac:dyDescent="0.25">
      <c r="A16" s="144" t="s">
        <v>3303</v>
      </c>
      <c r="B16" s="60">
        <v>3283670.5</v>
      </c>
      <c r="C16" s="60">
        <v>131149.96999999927</v>
      </c>
      <c r="D16" s="60">
        <v>3414820.4699999993</v>
      </c>
      <c r="E16" s="60">
        <v>3074187.9000000008</v>
      </c>
      <c r="F16" s="60">
        <v>3074187.9000000008</v>
      </c>
      <c r="G16" s="77">
        <f t="shared" si="1"/>
        <v>340632.56999999844</v>
      </c>
    </row>
    <row r="17" spans="1:7" s="24" customFormat="1" x14ac:dyDescent="0.25">
      <c r="A17" s="144" t="s">
        <v>3304</v>
      </c>
      <c r="B17" s="60">
        <v>4642610.8599999994</v>
      </c>
      <c r="C17" s="60">
        <v>282968.20000000112</v>
      </c>
      <c r="D17" s="60">
        <v>4925579.0600000005</v>
      </c>
      <c r="E17" s="60">
        <v>4676108.6900000004</v>
      </c>
      <c r="F17" s="60">
        <v>4673707.49</v>
      </c>
      <c r="G17" s="77">
        <f t="shared" si="1"/>
        <v>249470.37000000011</v>
      </c>
    </row>
    <row r="18" spans="1:7" s="24" customFormat="1" x14ac:dyDescent="0.25">
      <c r="A18" s="144" t="s">
        <v>3305</v>
      </c>
      <c r="B18" s="60">
        <v>1588019.67</v>
      </c>
      <c r="C18" s="60">
        <v>-40889.540000000037</v>
      </c>
      <c r="D18" s="60">
        <v>1547130.13</v>
      </c>
      <c r="E18" s="60">
        <v>1377224.2799999996</v>
      </c>
      <c r="F18" s="60">
        <v>1377224.2799999996</v>
      </c>
      <c r="G18" s="77">
        <f t="shared" si="1"/>
        <v>169905.85000000033</v>
      </c>
    </row>
    <row r="19" spans="1:7" s="24" customFormat="1" x14ac:dyDescent="0.25">
      <c r="A19" s="144" t="s">
        <v>3306</v>
      </c>
      <c r="B19" s="60">
        <v>2261808.3200000003</v>
      </c>
      <c r="C19" s="60">
        <v>209592.5299999998</v>
      </c>
      <c r="D19" s="60">
        <v>2471400.85</v>
      </c>
      <c r="E19" s="60">
        <v>2416917.9</v>
      </c>
      <c r="F19" s="60">
        <v>2416917.9</v>
      </c>
      <c r="G19" s="77">
        <f t="shared" si="1"/>
        <v>54482.950000000186</v>
      </c>
    </row>
    <row r="20" spans="1:7" s="24" customFormat="1" x14ac:dyDescent="0.25">
      <c r="A20" s="144" t="s">
        <v>3307</v>
      </c>
      <c r="B20" s="60">
        <v>943226.43</v>
      </c>
      <c r="C20" s="60">
        <v>-51692.510000000126</v>
      </c>
      <c r="D20" s="60">
        <v>891533.91999999993</v>
      </c>
      <c r="E20" s="60">
        <v>877841.94</v>
      </c>
      <c r="F20" s="60">
        <v>877841.94</v>
      </c>
      <c r="G20" s="77">
        <f t="shared" si="1"/>
        <v>13691.979999999981</v>
      </c>
    </row>
    <row r="21" spans="1:7" s="24" customFormat="1" x14ac:dyDescent="0.25">
      <c r="A21" s="144" t="s">
        <v>3308</v>
      </c>
      <c r="B21" s="60">
        <v>3820256.8000000017</v>
      </c>
      <c r="C21" s="60">
        <v>843366.33999999985</v>
      </c>
      <c r="D21" s="60">
        <v>4663623.1400000015</v>
      </c>
      <c r="E21" s="60">
        <v>3714170.4900000007</v>
      </c>
      <c r="F21" s="60">
        <v>3689900.2300000009</v>
      </c>
      <c r="G21" s="77">
        <f t="shared" si="1"/>
        <v>949452.65000000084</v>
      </c>
    </row>
    <row r="22" spans="1:7" s="24" customFormat="1" x14ac:dyDescent="0.25">
      <c r="A22" s="144" t="s">
        <v>3309</v>
      </c>
      <c r="B22" s="60">
        <v>9290901.3399999999</v>
      </c>
      <c r="C22" s="60">
        <v>-54532.849999999627</v>
      </c>
      <c r="D22" s="60">
        <v>9236368.4900000002</v>
      </c>
      <c r="E22" s="60">
        <v>8893097.75</v>
      </c>
      <c r="F22" s="60">
        <v>8888112.2100000009</v>
      </c>
      <c r="G22" s="77">
        <f t="shared" si="1"/>
        <v>343270.74000000022</v>
      </c>
    </row>
    <row r="23" spans="1:7" s="24" customFormat="1" x14ac:dyDescent="0.25">
      <c r="A23" s="144" t="s">
        <v>3310</v>
      </c>
      <c r="B23" s="60">
        <v>8657388.9000000004</v>
      </c>
      <c r="C23" s="60">
        <v>1233829.3600000013</v>
      </c>
      <c r="D23" s="60">
        <v>9891218.2600000016</v>
      </c>
      <c r="E23" s="60">
        <v>8633541.0299999993</v>
      </c>
      <c r="F23" s="60">
        <v>8601003.9399999995</v>
      </c>
      <c r="G23" s="77">
        <f t="shared" si="1"/>
        <v>1257677.2300000023</v>
      </c>
    </row>
    <row r="24" spans="1:7" s="24" customFormat="1" x14ac:dyDescent="0.25">
      <c r="A24" s="144" t="s">
        <v>3311</v>
      </c>
      <c r="B24" s="60">
        <v>5461059.4100000001</v>
      </c>
      <c r="C24" s="60">
        <v>1170787.3200000012</v>
      </c>
      <c r="D24" s="60">
        <v>6631846.7300000014</v>
      </c>
      <c r="E24" s="60">
        <v>6424789.959999999</v>
      </c>
      <c r="F24" s="60">
        <v>6399789.959999999</v>
      </c>
      <c r="G24" s="77">
        <f t="shared" si="1"/>
        <v>207056.77000000235</v>
      </c>
    </row>
    <row r="25" spans="1:7" s="24" customFormat="1" x14ac:dyDescent="0.25">
      <c r="A25" s="144" t="s">
        <v>3312</v>
      </c>
      <c r="B25" s="60">
        <v>7059519.4900000002</v>
      </c>
      <c r="C25" s="60">
        <v>3963553.58</v>
      </c>
      <c r="D25" s="60">
        <v>11023073.07</v>
      </c>
      <c r="E25" s="60">
        <v>10295679.02</v>
      </c>
      <c r="F25" s="60">
        <v>10237403.359999999</v>
      </c>
      <c r="G25" s="77">
        <f t="shared" si="1"/>
        <v>727394.05000000075</v>
      </c>
    </row>
    <row r="26" spans="1:7" s="24" customFormat="1" x14ac:dyDescent="0.25">
      <c r="A26" s="144" t="s">
        <v>3313</v>
      </c>
      <c r="B26" s="60">
        <v>5861100.54</v>
      </c>
      <c r="C26" s="60">
        <v>995131.60000000056</v>
      </c>
      <c r="D26" s="60">
        <v>6856232.1400000006</v>
      </c>
      <c r="E26" s="60">
        <v>6411777.3999999976</v>
      </c>
      <c r="F26" s="60">
        <v>6143633.879999998</v>
      </c>
      <c r="G26" s="77">
        <f t="shared" si="1"/>
        <v>444454.74000000302</v>
      </c>
    </row>
    <row r="27" spans="1:7" s="24" customFormat="1" x14ac:dyDescent="0.25">
      <c r="A27" s="144" t="s">
        <v>3314</v>
      </c>
      <c r="B27" s="60">
        <v>9053716.0899999999</v>
      </c>
      <c r="C27" s="60">
        <v>2734261.91</v>
      </c>
      <c r="D27" s="60">
        <v>11787978</v>
      </c>
      <c r="E27" s="60">
        <v>11765384.740000002</v>
      </c>
      <c r="F27" s="60">
        <v>11765384.740000002</v>
      </c>
      <c r="G27" s="77">
        <f t="shared" si="1"/>
        <v>22593.259999997914</v>
      </c>
    </row>
    <row r="28" spans="1:7" s="24" customFormat="1" x14ac:dyDescent="0.25">
      <c r="A28" s="144" t="s">
        <v>3315</v>
      </c>
      <c r="B28" s="60">
        <v>1136345.4100000001</v>
      </c>
      <c r="C28" s="60">
        <v>-7578.3600000001024</v>
      </c>
      <c r="D28" s="60">
        <v>1128767.05</v>
      </c>
      <c r="E28" s="60">
        <v>1102605.55</v>
      </c>
      <c r="F28" s="60">
        <v>1102605.55</v>
      </c>
      <c r="G28" s="77">
        <f t="shared" si="1"/>
        <v>26161.5</v>
      </c>
    </row>
    <row r="29" spans="1:7" s="24" customFormat="1" x14ac:dyDescent="0.25">
      <c r="A29" s="144" t="s">
        <v>3316</v>
      </c>
      <c r="B29" s="60">
        <v>1985184.0090000001</v>
      </c>
      <c r="C29" s="60">
        <v>-19368.829000000143</v>
      </c>
      <c r="D29" s="60">
        <v>1965815.18</v>
      </c>
      <c r="E29" s="60">
        <v>1924496.6700000006</v>
      </c>
      <c r="F29" s="60">
        <v>1924496.6700000006</v>
      </c>
      <c r="G29" s="77">
        <f t="shared" si="1"/>
        <v>41318.509999999311</v>
      </c>
    </row>
    <row r="30" spans="1:7" s="24" customFormat="1" x14ac:dyDescent="0.25">
      <c r="A30" s="144" t="s">
        <v>3317</v>
      </c>
      <c r="B30" s="60">
        <v>5679164.3700000001</v>
      </c>
      <c r="C30" s="60">
        <v>-180070.25</v>
      </c>
      <c r="D30" s="60">
        <v>5499094.1200000001</v>
      </c>
      <c r="E30" s="60">
        <v>5197667.3100000005</v>
      </c>
      <c r="F30" s="60">
        <v>5018986.9000000004</v>
      </c>
      <c r="G30" s="77">
        <f t="shared" si="1"/>
        <v>301426.80999999959</v>
      </c>
    </row>
    <row r="31" spans="1:7" s="24" customFormat="1" x14ac:dyDescent="0.25">
      <c r="A31" s="144" t="s">
        <v>3318</v>
      </c>
      <c r="B31" s="60">
        <v>1475132.9890000001</v>
      </c>
      <c r="C31" s="60">
        <v>-54850.658999999752</v>
      </c>
      <c r="D31" s="60">
        <v>1420282.3300000003</v>
      </c>
      <c r="E31" s="60">
        <v>1385483.38</v>
      </c>
      <c r="F31" s="60">
        <v>1385483.38</v>
      </c>
      <c r="G31" s="77">
        <f t="shared" si="1"/>
        <v>34798.950000000419</v>
      </c>
    </row>
    <row r="32" spans="1:7" s="24" customFormat="1" x14ac:dyDescent="0.25">
      <c r="A32" s="144" t="s">
        <v>3319</v>
      </c>
      <c r="B32" s="60">
        <v>2882037.878</v>
      </c>
      <c r="C32" s="60">
        <v>-131378.80799999973</v>
      </c>
      <c r="D32" s="60">
        <v>2750659.0700000003</v>
      </c>
      <c r="E32" s="60">
        <v>2698554.0500000007</v>
      </c>
      <c r="F32" s="60">
        <v>2692591.6500000008</v>
      </c>
      <c r="G32" s="77">
        <f t="shared" si="1"/>
        <v>52105.019999999553</v>
      </c>
    </row>
    <row r="33" spans="1:7" s="24" customFormat="1" x14ac:dyDescent="0.25">
      <c r="A33" s="144" t="s">
        <v>3320</v>
      </c>
      <c r="B33" s="60">
        <v>10963487.25</v>
      </c>
      <c r="C33" s="60">
        <v>1012200.5799999982</v>
      </c>
      <c r="D33" s="60">
        <v>11975687.829999998</v>
      </c>
      <c r="E33" s="60">
        <v>11798540.049999993</v>
      </c>
      <c r="F33" s="60">
        <v>11673745.999999991</v>
      </c>
      <c r="G33" s="77">
        <f t="shared" si="1"/>
        <v>177147.78000000492</v>
      </c>
    </row>
    <row r="34" spans="1:7" s="24" customFormat="1" x14ac:dyDescent="0.25">
      <c r="A34" s="144" t="s">
        <v>3321</v>
      </c>
      <c r="B34" s="60">
        <v>6955849.8999999994</v>
      </c>
      <c r="C34" s="60">
        <v>-320761.45999999996</v>
      </c>
      <c r="D34" s="60">
        <v>6635088.4399999995</v>
      </c>
      <c r="E34" s="60">
        <v>6534101.6999999983</v>
      </c>
      <c r="F34" s="60">
        <v>6532084.1099999985</v>
      </c>
      <c r="G34" s="77">
        <f t="shared" ref="G34:G61" si="2">D34-E34</f>
        <v>100986.74000000115</v>
      </c>
    </row>
    <row r="35" spans="1:7" s="24" customFormat="1" x14ac:dyDescent="0.25">
      <c r="A35" s="144" t="s">
        <v>3322</v>
      </c>
      <c r="B35" s="60">
        <v>1002353.7900000002</v>
      </c>
      <c r="C35" s="60">
        <v>-97256.530000000261</v>
      </c>
      <c r="D35" s="60">
        <v>905097.25999999989</v>
      </c>
      <c r="E35" s="60">
        <v>887318.37</v>
      </c>
      <c r="F35" s="60">
        <v>887318.37</v>
      </c>
      <c r="G35" s="77">
        <f t="shared" si="2"/>
        <v>17778.889999999898</v>
      </c>
    </row>
    <row r="36" spans="1:7" s="24" customFormat="1" x14ac:dyDescent="0.25">
      <c r="A36" s="144" t="s">
        <v>3323</v>
      </c>
      <c r="B36" s="60">
        <v>21038170.649999999</v>
      </c>
      <c r="C36" s="60">
        <v>3127350.1500000022</v>
      </c>
      <c r="D36" s="60">
        <v>24165520.800000001</v>
      </c>
      <c r="E36" s="60">
        <v>24155320.920000002</v>
      </c>
      <c r="F36" s="60">
        <v>24155320.920000002</v>
      </c>
      <c r="G36" s="77">
        <f t="shared" si="2"/>
        <v>10199.879999998957</v>
      </c>
    </row>
    <row r="37" spans="1:7" s="24" customFormat="1" x14ac:dyDescent="0.25">
      <c r="A37" s="144" t="s">
        <v>3324</v>
      </c>
      <c r="B37" s="60">
        <v>4336825.74</v>
      </c>
      <c r="C37" s="60">
        <v>-190496.86000000034</v>
      </c>
      <c r="D37" s="60">
        <v>4146328.88</v>
      </c>
      <c r="E37" s="60">
        <v>4028303.3199999994</v>
      </c>
      <c r="F37" s="60">
        <v>4020784.2499999995</v>
      </c>
      <c r="G37" s="77">
        <f t="shared" si="2"/>
        <v>118025.56000000052</v>
      </c>
    </row>
    <row r="38" spans="1:7" s="24" customFormat="1" x14ac:dyDescent="0.25">
      <c r="A38" s="144" t="s">
        <v>3325</v>
      </c>
      <c r="B38" s="60">
        <v>3111843.8400000003</v>
      </c>
      <c r="C38" s="60">
        <v>-41566.370000000577</v>
      </c>
      <c r="D38" s="60">
        <v>3070277.4699999997</v>
      </c>
      <c r="E38" s="60">
        <v>2963729.8200000003</v>
      </c>
      <c r="F38" s="60">
        <v>2963365.35</v>
      </c>
      <c r="G38" s="77">
        <f t="shared" si="2"/>
        <v>106547.64999999944</v>
      </c>
    </row>
    <row r="39" spans="1:7" s="24" customFormat="1" x14ac:dyDescent="0.25">
      <c r="A39" s="144" t="s">
        <v>3326</v>
      </c>
      <c r="B39" s="60">
        <v>3777707.76</v>
      </c>
      <c r="C39" s="60">
        <v>-278809.9599999995</v>
      </c>
      <c r="D39" s="60">
        <v>3498897.8000000003</v>
      </c>
      <c r="E39" s="60">
        <v>3432835.0400000019</v>
      </c>
      <c r="F39" s="60">
        <v>3402923.6800000025</v>
      </c>
      <c r="G39" s="77">
        <f t="shared" si="2"/>
        <v>66062.759999998379</v>
      </c>
    </row>
    <row r="40" spans="1:7" s="24" customFormat="1" x14ac:dyDescent="0.25">
      <c r="A40" s="144" t="s">
        <v>3327</v>
      </c>
      <c r="B40" s="60">
        <v>1630126.2400000002</v>
      </c>
      <c r="C40" s="60">
        <v>-69151.450000000186</v>
      </c>
      <c r="D40" s="60">
        <v>1560974.79</v>
      </c>
      <c r="E40" s="60">
        <v>1518787.7599999998</v>
      </c>
      <c r="F40" s="60">
        <v>1518787.7599999998</v>
      </c>
      <c r="G40" s="77">
        <f t="shared" si="2"/>
        <v>42187.030000000261</v>
      </c>
    </row>
    <row r="41" spans="1:7" s="24" customFormat="1" x14ac:dyDescent="0.25">
      <c r="A41" s="144" t="s">
        <v>3328</v>
      </c>
      <c r="B41" s="60">
        <v>7862847.7100000009</v>
      </c>
      <c r="C41" s="60">
        <v>2222370.1099999994</v>
      </c>
      <c r="D41" s="60">
        <v>10085217.82</v>
      </c>
      <c r="E41" s="60">
        <v>9108476.5500000007</v>
      </c>
      <c r="F41" s="60">
        <v>8945679.1500000004</v>
      </c>
      <c r="G41" s="77">
        <f t="shared" si="2"/>
        <v>976741.26999999955</v>
      </c>
    </row>
    <row r="42" spans="1:7" s="24" customFormat="1" x14ac:dyDescent="0.25">
      <c r="A42" s="144" t="s">
        <v>3329</v>
      </c>
      <c r="B42" s="60">
        <v>3443004.2099999995</v>
      </c>
      <c r="C42" s="60">
        <v>102268.66000000015</v>
      </c>
      <c r="D42" s="60">
        <v>3545272.8699999996</v>
      </c>
      <c r="E42" s="60">
        <v>3454137.9299999992</v>
      </c>
      <c r="F42" s="60">
        <v>3443283.4999999991</v>
      </c>
      <c r="G42" s="77">
        <f t="shared" si="2"/>
        <v>91134.94000000041</v>
      </c>
    </row>
    <row r="43" spans="1:7" s="24" customFormat="1" x14ac:dyDescent="0.25">
      <c r="A43" s="144" t="s">
        <v>3330</v>
      </c>
      <c r="B43" s="60">
        <v>526910.64</v>
      </c>
      <c r="C43" s="60">
        <v>-16559.300000000105</v>
      </c>
      <c r="D43" s="60">
        <v>510351.33999999991</v>
      </c>
      <c r="E43" s="60">
        <v>503299.43999999994</v>
      </c>
      <c r="F43" s="60">
        <v>503299.43999999994</v>
      </c>
      <c r="G43" s="77">
        <f t="shared" si="2"/>
        <v>7051.8999999999651</v>
      </c>
    </row>
    <row r="44" spans="1:7" s="24" customFormat="1" x14ac:dyDescent="0.25">
      <c r="A44" s="144" t="s">
        <v>3331</v>
      </c>
      <c r="B44" s="60">
        <v>59740743.859999999</v>
      </c>
      <c r="C44" s="60">
        <v>16557888.789999992</v>
      </c>
      <c r="D44" s="60">
        <v>76298632.649999991</v>
      </c>
      <c r="E44" s="60">
        <v>74284779.089999959</v>
      </c>
      <c r="F44" s="60">
        <v>74234305.349999979</v>
      </c>
      <c r="G44" s="77">
        <f t="shared" si="2"/>
        <v>2013853.5600000322</v>
      </c>
    </row>
    <row r="45" spans="1:7" s="24" customFormat="1" x14ac:dyDescent="0.25">
      <c r="A45" s="144" t="s">
        <v>3332</v>
      </c>
      <c r="B45" s="60">
        <v>616419.01</v>
      </c>
      <c r="C45" s="60">
        <v>-18848.570000000065</v>
      </c>
      <c r="D45" s="60">
        <v>597570.43999999994</v>
      </c>
      <c r="E45" s="60">
        <v>589321.5199999999</v>
      </c>
      <c r="F45" s="60">
        <v>589321.5199999999</v>
      </c>
      <c r="G45" s="77">
        <f t="shared" si="2"/>
        <v>8248.9200000000419</v>
      </c>
    </row>
    <row r="46" spans="1:7" s="24" customFormat="1" x14ac:dyDescent="0.25">
      <c r="A46" s="144" t="s">
        <v>3333</v>
      </c>
      <c r="B46" s="60">
        <v>6528103.0199999996</v>
      </c>
      <c r="C46" s="60">
        <v>2827528.9300000016</v>
      </c>
      <c r="D46" s="60">
        <v>9355631.9500000011</v>
      </c>
      <c r="E46" s="60">
        <v>8689782.4900000021</v>
      </c>
      <c r="F46" s="60">
        <v>8637782.4700000025</v>
      </c>
      <c r="G46" s="77">
        <f t="shared" si="2"/>
        <v>665849.45999999903</v>
      </c>
    </row>
    <row r="47" spans="1:7" s="24" customFormat="1" x14ac:dyDescent="0.25">
      <c r="A47" s="144" t="s">
        <v>3334</v>
      </c>
      <c r="B47" s="60">
        <v>9939378.620000001</v>
      </c>
      <c r="C47" s="60">
        <v>1803379.959999999</v>
      </c>
      <c r="D47" s="60">
        <v>11742758.58</v>
      </c>
      <c r="E47" s="60">
        <v>10598522.140000002</v>
      </c>
      <c r="F47" s="60">
        <v>10334430.170000002</v>
      </c>
      <c r="G47" s="77">
        <f t="shared" si="2"/>
        <v>1144236.4399999976</v>
      </c>
    </row>
    <row r="48" spans="1:7" s="24" customFormat="1" x14ac:dyDescent="0.25">
      <c r="A48" s="144" t="s">
        <v>3335</v>
      </c>
      <c r="B48" s="60">
        <v>4029982.6399999997</v>
      </c>
      <c r="C48" s="60">
        <v>-486175.07999999961</v>
      </c>
      <c r="D48" s="60">
        <v>3543807.56</v>
      </c>
      <c r="E48" s="60">
        <v>3477391.7400000007</v>
      </c>
      <c r="F48" s="60">
        <v>3477391.7400000007</v>
      </c>
      <c r="G48" s="77">
        <f t="shared" si="2"/>
        <v>66415.819999999367</v>
      </c>
    </row>
    <row r="49" spans="1:7" s="24" customFormat="1" x14ac:dyDescent="0.25">
      <c r="A49" s="144" t="s">
        <v>3336</v>
      </c>
      <c r="B49" s="60">
        <v>2043305.0900000003</v>
      </c>
      <c r="C49" s="60">
        <v>-144758.63000000012</v>
      </c>
      <c r="D49" s="60">
        <v>1898546.4600000002</v>
      </c>
      <c r="E49" s="60">
        <v>1871893.8499999999</v>
      </c>
      <c r="F49" s="60">
        <v>1871893.8499999999</v>
      </c>
      <c r="G49" s="77">
        <f t="shared" si="2"/>
        <v>26652.610000000335</v>
      </c>
    </row>
    <row r="50" spans="1:7" s="24" customFormat="1" x14ac:dyDescent="0.25">
      <c r="A50" s="144" t="s">
        <v>3337</v>
      </c>
      <c r="B50" s="60">
        <v>3898946.0699999994</v>
      </c>
      <c r="C50" s="60">
        <v>-148853.48999999929</v>
      </c>
      <c r="D50" s="60">
        <v>3750092.58</v>
      </c>
      <c r="E50" s="60">
        <v>3700418.63</v>
      </c>
      <c r="F50" s="60">
        <v>3700418.63</v>
      </c>
      <c r="G50" s="77">
        <f t="shared" si="2"/>
        <v>49673.950000000186</v>
      </c>
    </row>
    <row r="51" spans="1:7" s="24" customFormat="1" x14ac:dyDescent="0.25">
      <c r="A51" s="144" t="s">
        <v>3338</v>
      </c>
      <c r="B51" s="60">
        <v>38578805.339999996</v>
      </c>
      <c r="C51" s="60">
        <v>4348610.3100000024</v>
      </c>
      <c r="D51" s="60">
        <v>42927415.649999999</v>
      </c>
      <c r="E51" s="60">
        <v>23070650.420000009</v>
      </c>
      <c r="F51" s="60">
        <v>22178748.850000005</v>
      </c>
      <c r="G51" s="77">
        <f t="shared" si="2"/>
        <v>19856765.229999989</v>
      </c>
    </row>
    <row r="52" spans="1:7" s="24" customFormat="1" x14ac:dyDescent="0.25">
      <c r="A52" s="144" t="s">
        <v>3339</v>
      </c>
      <c r="B52" s="60">
        <v>4167748.41</v>
      </c>
      <c r="C52" s="60">
        <v>-27464.569999999832</v>
      </c>
      <c r="D52" s="60">
        <v>4140283.8400000003</v>
      </c>
      <c r="E52" s="60">
        <v>3943780.83</v>
      </c>
      <c r="F52" s="60">
        <v>3943780.83</v>
      </c>
      <c r="G52" s="77">
        <f t="shared" si="2"/>
        <v>196503.01000000024</v>
      </c>
    </row>
    <row r="53" spans="1:7" s="24" customFormat="1" x14ac:dyDescent="0.25">
      <c r="A53" s="144" t="s">
        <v>3340</v>
      </c>
      <c r="B53" s="60">
        <v>628160.25999999978</v>
      </c>
      <c r="C53" s="60">
        <v>-22778.229999999749</v>
      </c>
      <c r="D53" s="60">
        <v>605382.03</v>
      </c>
      <c r="E53" s="60">
        <v>578304.8899999999</v>
      </c>
      <c r="F53" s="60">
        <v>578304.8899999999</v>
      </c>
      <c r="G53" s="77">
        <f t="shared" si="2"/>
        <v>27077.14000000013</v>
      </c>
    </row>
    <row r="54" spans="1:7" s="24" customFormat="1" x14ac:dyDescent="0.25">
      <c r="A54" s="144" t="s">
        <v>3341</v>
      </c>
      <c r="B54" s="60">
        <v>899464.44999999984</v>
      </c>
      <c r="C54" s="60">
        <v>-31744.229999999749</v>
      </c>
      <c r="D54" s="60">
        <v>867720.22000000009</v>
      </c>
      <c r="E54" s="60">
        <v>849305.72000000009</v>
      </c>
      <c r="F54" s="60">
        <v>849305.72000000009</v>
      </c>
      <c r="G54" s="77">
        <f t="shared" si="2"/>
        <v>18414.5</v>
      </c>
    </row>
    <row r="55" spans="1:7" s="24" customFormat="1" x14ac:dyDescent="0.25">
      <c r="A55" s="144" t="s">
        <v>3342</v>
      </c>
      <c r="B55" s="60">
        <v>3309797.9899999993</v>
      </c>
      <c r="C55" s="60">
        <v>-187036.29999999981</v>
      </c>
      <c r="D55" s="60">
        <v>3122761.6899999995</v>
      </c>
      <c r="E55" s="60">
        <v>3033656.4</v>
      </c>
      <c r="F55" s="60">
        <v>3033026.52</v>
      </c>
      <c r="G55" s="77">
        <f t="shared" si="2"/>
        <v>89105.289999999572</v>
      </c>
    </row>
    <row r="56" spans="1:7" s="24" customFormat="1" x14ac:dyDescent="0.25">
      <c r="A56" s="144" t="s">
        <v>3343</v>
      </c>
      <c r="B56" s="60">
        <v>545082.52999999991</v>
      </c>
      <c r="C56" s="60">
        <v>-22558.019999999902</v>
      </c>
      <c r="D56" s="60">
        <v>522524.51</v>
      </c>
      <c r="E56" s="60">
        <v>509923.06</v>
      </c>
      <c r="F56" s="60">
        <v>507658.74000000005</v>
      </c>
      <c r="G56" s="77">
        <f t="shared" si="2"/>
        <v>12601.450000000012</v>
      </c>
    </row>
    <row r="57" spans="1:7" s="24" customFormat="1" x14ac:dyDescent="0.25">
      <c r="A57" s="144" t="s">
        <v>3344</v>
      </c>
      <c r="B57" s="60">
        <v>715925.07000000007</v>
      </c>
      <c r="C57" s="60">
        <v>-40834.570000000182</v>
      </c>
      <c r="D57" s="60">
        <v>675090.49999999988</v>
      </c>
      <c r="E57" s="60">
        <v>601664.55999999982</v>
      </c>
      <c r="F57" s="60">
        <v>601664.55999999982</v>
      </c>
      <c r="G57" s="77">
        <f t="shared" si="2"/>
        <v>73425.940000000061</v>
      </c>
    </row>
    <row r="58" spans="1:7" s="24" customFormat="1" x14ac:dyDescent="0.25">
      <c r="A58" s="144" t="s">
        <v>3345</v>
      </c>
      <c r="B58" s="60">
        <v>637841.85</v>
      </c>
      <c r="C58" s="60">
        <v>-31433.790000000037</v>
      </c>
      <c r="D58" s="60">
        <v>606408.05999999994</v>
      </c>
      <c r="E58" s="60">
        <v>590873.68999999983</v>
      </c>
      <c r="F58" s="60">
        <v>587483.29999999981</v>
      </c>
      <c r="G58" s="77">
        <f t="shared" ref="G58:G59" si="3">D58-E58</f>
        <v>15534.370000000112</v>
      </c>
    </row>
    <row r="59" spans="1:7" s="24" customFormat="1" x14ac:dyDescent="0.25">
      <c r="A59" s="144" t="s">
        <v>3346</v>
      </c>
      <c r="B59" s="60">
        <v>1136337.6400000001</v>
      </c>
      <c r="C59" s="60">
        <v>15775.70999999973</v>
      </c>
      <c r="D59" s="60">
        <v>1152113.3499999999</v>
      </c>
      <c r="E59" s="60">
        <v>1053011.2600000002</v>
      </c>
      <c r="F59" s="60">
        <v>1053011.2600000002</v>
      </c>
      <c r="G59" s="77">
        <f t="shared" si="3"/>
        <v>99102.089999999618</v>
      </c>
    </row>
    <row r="60" spans="1:7" s="24" customFormat="1" x14ac:dyDescent="0.25">
      <c r="A60" s="144" t="s">
        <v>3347</v>
      </c>
      <c r="B60" s="60">
        <v>4485645</v>
      </c>
      <c r="C60" s="60">
        <v>2111781.7500000019</v>
      </c>
      <c r="D60" s="60">
        <v>6597426.7500000019</v>
      </c>
      <c r="E60" s="60">
        <v>5035391.9399999976</v>
      </c>
      <c r="F60" s="60">
        <v>4410146.8899999978</v>
      </c>
      <c r="G60" s="77">
        <f t="shared" si="2"/>
        <v>1562034.8100000042</v>
      </c>
    </row>
    <row r="61" spans="1:7" s="24" customFormat="1" x14ac:dyDescent="0.25">
      <c r="A61" s="144" t="s">
        <v>3348</v>
      </c>
      <c r="B61" s="60">
        <v>1349719.38</v>
      </c>
      <c r="C61" s="60">
        <v>41275.909999999916</v>
      </c>
      <c r="D61" s="60">
        <v>1390995.2899999998</v>
      </c>
      <c r="E61" s="60">
        <v>1332282.8299999998</v>
      </c>
      <c r="F61" s="60">
        <v>1198834.1099999999</v>
      </c>
      <c r="G61" s="77">
        <f t="shared" si="2"/>
        <v>58712.459999999963</v>
      </c>
    </row>
    <row r="62" spans="1:7" s="24" customFormat="1" x14ac:dyDescent="0.25">
      <c r="A62" s="144" t="s">
        <v>3349</v>
      </c>
      <c r="B62" s="60">
        <v>12135852.23</v>
      </c>
      <c r="C62" s="60">
        <v>-1656224.4900000021</v>
      </c>
      <c r="D62" s="60">
        <v>10479627.739999998</v>
      </c>
      <c r="E62" s="60">
        <v>10313485.460000001</v>
      </c>
      <c r="F62" s="60">
        <v>10313485.460000001</v>
      </c>
      <c r="G62" s="77">
        <f t="shared" si="0"/>
        <v>166142.27999999747</v>
      </c>
    </row>
    <row r="63" spans="1:7" s="24" customFormat="1" x14ac:dyDescent="0.25">
      <c r="A63" s="144" t="s">
        <v>3350</v>
      </c>
      <c r="B63" s="60">
        <v>3678149.919999999</v>
      </c>
      <c r="C63" s="60">
        <v>688265.56000000052</v>
      </c>
      <c r="D63" s="60">
        <v>4366415.4799999995</v>
      </c>
      <c r="E63" s="60">
        <v>3692006.3</v>
      </c>
      <c r="F63" s="60">
        <v>3608522.6700000004</v>
      </c>
      <c r="G63" s="77">
        <f t="shared" si="0"/>
        <v>674409.1799999997</v>
      </c>
    </row>
    <row r="64" spans="1:7" s="24" customFormat="1" x14ac:dyDescent="0.25">
      <c r="A64" s="144" t="s">
        <v>3351</v>
      </c>
      <c r="B64" s="60">
        <v>1377676.9500000002</v>
      </c>
      <c r="C64" s="60">
        <v>242116.21999999974</v>
      </c>
      <c r="D64" s="60">
        <v>1619793.17</v>
      </c>
      <c r="E64" s="60">
        <v>1332400.9599999997</v>
      </c>
      <c r="F64" s="60">
        <v>1331215.9499999997</v>
      </c>
      <c r="G64" s="77">
        <f t="shared" si="0"/>
        <v>287392.2100000002</v>
      </c>
    </row>
    <row r="65" spans="1:7" s="24" customFormat="1" x14ac:dyDescent="0.25">
      <c r="A65" s="144" t="s">
        <v>3352</v>
      </c>
      <c r="B65" s="60">
        <v>0</v>
      </c>
      <c r="C65" s="60">
        <v>229651198.38000003</v>
      </c>
      <c r="D65" s="60">
        <v>229651198.38000003</v>
      </c>
      <c r="E65" s="60">
        <v>13936532.560000001</v>
      </c>
      <c r="F65" s="60">
        <v>13936532.560000001</v>
      </c>
      <c r="G65" s="77">
        <f t="shared" si="0"/>
        <v>215714665.82000002</v>
      </c>
    </row>
    <row r="66" spans="1:7" s="24" customFormat="1" x14ac:dyDescent="0.25">
      <c r="A66" s="144" t="s">
        <v>3353</v>
      </c>
      <c r="B66" s="60">
        <v>0</v>
      </c>
      <c r="C66" s="60">
        <v>1590851.4</v>
      </c>
      <c r="D66" s="60">
        <v>1590851.4</v>
      </c>
      <c r="E66" s="60">
        <v>1590851.4</v>
      </c>
      <c r="F66" s="60">
        <v>1590851.4</v>
      </c>
      <c r="G66" s="77">
        <f t="shared" si="0"/>
        <v>0</v>
      </c>
    </row>
    <row r="67" spans="1:7" s="24" customFormat="1" x14ac:dyDescent="0.25">
      <c r="A67" s="144" t="s">
        <v>3354</v>
      </c>
      <c r="B67" s="60">
        <v>0</v>
      </c>
      <c r="C67" s="60">
        <v>1590851.4</v>
      </c>
      <c r="D67" s="60">
        <v>1590851.4</v>
      </c>
      <c r="E67" s="60">
        <v>1590851.4</v>
      </c>
      <c r="F67" s="60">
        <v>1590851.4</v>
      </c>
      <c r="G67" s="77">
        <f t="shared" si="0"/>
        <v>0</v>
      </c>
    </row>
    <row r="68" spans="1:7" x14ac:dyDescent="0.25">
      <c r="A68" s="76" t="s">
        <v>678</v>
      </c>
      <c r="B68" s="54"/>
      <c r="C68" s="54"/>
      <c r="D68" s="54"/>
      <c r="E68" s="54"/>
      <c r="F68" s="54"/>
      <c r="G68" s="54"/>
    </row>
    <row r="69" spans="1:7" s="24" customFormat="1" x14ac:dyDescent="0.25">
      <c r="A69" s="55" t="s">
        <v>433</v>
      </c>
      <c r="B69" s="61">
        <f>SUM(B70:GASTO_E_FIN_01)</f>
        <v>188289053.99000001</v>
      </c>
      <c r="C69" s="61">
        <f>SUM(C70:GASTO_E_FIN_02)</f>
        <v>201279843.02999997</v>
      </c>
      <c r="D69" s="61">
        <f>SUM(D70:GASTO_E_FIN_03)</f>
        <v>389568898.01999998</v>
      </c>
      <c r="E69" s="61">
        <f>SUM(E70:GASTO_E_FIN_04)</f>
        <v>314047699.46000004</v>
      </c>
      <c r="F69" s="61">
        <f>SUM(F70:GASTO_E_FIN_05)</f>
        <v>314047699.46000004</v>
      </c>
      <c r="G69" s="61">
        <f>SUM(G70:GASTO_E_FIN_06)</f>
        <v>75521198.559999987</v>
      </c>
    </row>
    <row r="70" spans="1:7" s="24" customFormat="1" x14ac:dyDescent="0.25">
      <c r="A70" s="144" t="s">
        <v>3297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>D70-E70</f>
        <v>0</v>
      </c>
    </row>
    <row r="71" spans="1:7" s="24" customFormat="1" x14ac:dyDescent="0.25">
      <c r="A71" s="144" t="s">
        <v>3298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ref="G71:G99" si="4">D71-E71</f>
        <v>0</v>
      </c>
    </row>
    <row r="72" spans="1:7" s="24" customFormat="1" x14ac:dyDescent="0.25">
      <c r="A72" s="144" t="s">
        <v>3299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4"/>
        <v>0</v>
      </c>
    </row>
    <row r="73" spans="1:7" s="24" customFormat="1" x14ac:dyDescent="0.25">
      <c r="A73" s="144" t="s">
        <v>3300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4"/>
        <v>0</v>
      </c>
    </row>
    <row r="74" spans="1:7" s="24" customFormat="1" x14ac:dyDescent="0.25">
      <c r="A74" s="144" t="s">
        <v>3301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4"/>
        <v>0</v>
      </c>
    </row>
    <row r="75" spans="1:7" s="24" customFormat="1" x14ac:dyDescent="0.25">
      <c r="A75" s="144" t="s">
        <v>3302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4"/>
        <v>0</v>
      </c>
    </row>
    <row r="76" spans="1:7" s="24" customFormat="1" x14ac:dyDescent="0.25">
      <c r="A76" s="144" t="s">
        <v>3303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4"/>
        <v>0</v>
      </c>
    </row>
    <row r="77" spans="1:7" s="24" customFormat="1" x14ac:dyDescent="0.25">
      <c r="A77" s="144" t="s">
        <v>3304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4"/>
        <v>0</v>
      </c>
    </row>
    <row r="78" spans="1:7" s="24" customFormat="1" x14ac:dyDescent="0.25">
      <c r="A78" s="144" t="s">
        <v>3305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4"/>
        <v>0</v>
      </c>
    </row>
    <row r="79" spans="1:7" s="24" customFormat="1" x14ac:dyDescent="0.25">
      <c r="A79" s="144" t="s">
        <v>3306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4"/>
        <v>0</v>
      </c>
    </row>
    <row r="80" spans="1:7" s="24" customFormat="1" x14ac:dyDescent="0.25">
      <c r="A80" s="144" t="s">
        <v>3307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4"/>
        <v>0</v>
      </c>
    </row>
    <row r="81" spans="1:7" s="24" customFormat="1" x14ac:dyDescent="0.25">
      <c r="A81" s="144" t="s">
        <v>3308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4"/>
        <v>0</v>
      </c>
    </row>
    <row r="82" spans="1:7" s="24" customFormat="1" x14ac:dyDescent="0.25">
      <c r="A82" s="144" t="s">
        <v>3309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4"/>
        <v>0</v>
      </c>
    </row>
    <row r="83" spans="1:7" s="24" customFormat="1" x14ac:dyDescent="0.25">
      <c r="A83" s="144" t="s">
        <v>3310</v>
      </c>
      <c r="B83" s="60">
        <v>1000000</v>
      </c>
      <c r="C83" s="60">
        <v>4082458.9000000004</v>
      </c>
      <c r="D83" s="60">
        <v>5082458.9000000004</v>
      </c>
      <c r="E83" s="60">
        <v>2649298.0700000003</v>
      </c>
      <c r="F83" s="60">
        <v>2649298.0700000003</v>
      </c>
      <c r="G83" s="60">
        <f t="shared" si="4"/>
        <v>2433160.83</v>
      </c>
    </row>
    <row r="84" spans="1:7" s="24" customFormat="1" x14ac:dyDescent="0.25">
      <c r="A84" s="144" t="s">
        <v>3311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4"/>
        <v>0</v>
      </c>
    </row>
    <row r="85" spans="1:7" s="24" customFormat="1" x14ac:dyDescent="0.25">
      <c r="A85" s="144" t="s">
        <v>3312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4"/>
        <v>0</v>
      </c>
    </row>
    <row r="86" spans="1:7" s="24" customFormat="1" x14ac:dyDescent="0.25">
      <c r="A86" s="144" t="s">
        <v>3313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ref="G86:G96" si="5">D86-E86</f>
        <v>0</v>
      </c>
    </row>
    <row r="87" spans="1:7" s="24" customFormat="1" x14ac:dyDescent="0.25">
      <c r="A87" s="144" t="s">
        <v>3314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5"/>
        <v>0</v>
      </c>
    </row>
    <row r="88" spans="1:7" s="24" customFormat="1" x14ac:dyDescent="0.25">
      <c r="A88" s="144" t="s">
        <v>3315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5"/>
        <v>0</v>
      </c>
    </row>
    <row r="89" spans="1:7" s="24" customFormat="1" x14ac:dyDescent="0.25">
      <c r="A89" s="144" t="s">
        <v>3316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 t="shared" si="5"/>
        <v>0</v>
      </c>
    </row>
    <row r="90" spans="1:7" s="24" customFormat="1" x14ac:dyDescent="0.25">
      <c r="A90" s="144" t="s">
        <v>3317</v>
      </c>
      <c r="B90" s="60">
        <v>3000000</v>
      </c>
      <c r="C90" s="60">
        <v>850000</v>
      </c>
      <c r="D90" s="60">
        <v>3850000</v>
      </c>
      <c r="E90" s="60">
        <v>2748176.23</v>
      </c>
      <c r="F90" s="60">
        <v>2748176.23</v>
      </c>
      <c r="G90" s="60">
        <f t="shared" si="5"/>
        <v>1101823.77</v>
      </c>
    </row>
    <row r="91" spans="1:7" s="24" customFormat="1" x14ac:dyDescent="0.25">
      <c r="A91" s="144" t="s">
        <v>3318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5"/>
        <v>0</v>
      </c>
    </row>
    <row r="92" spans="1:7" s="24" customFormat="1" x14ac:dyDescent="0.25">
      <c r="A92" s="144" t="s">
        <v>3319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5"/>
        <v>0</v>
      </c>
    </row>
    <row r="93" spans="1:7" s="24" customFormat="1" x14ac:dyDescent="0.25">
      <c r="A93" s="144" t="s">
        <v>3320</v>
      </c>
      <c r="B93" s="60">
        <v>1000000</v>
      </c>
      <c r="C93" s="60">
        <v>1500000</v>
      </c>
      <c r="D93" s="60">
        <v>2500000</v>
      </c>
      <c r="E93" s="60">
        <v>987413.35</v>
      </c>
      <c r="F93" s="60">
        <v>987413.35</v>
      </c>
      <c r="G93" s="60">
        <f t="shared" si="5"/>
        <v>1512586.65</v>
      </c>
    </row>
    <row r="94" spans="1:7" s="24" customFormat="1" x14ac:dyDescent="0.25">
      <c r="A94" s="144" t="s">
        <v>3321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5"/>
        <v>0</v>
      </c>
    </row>
    <row r="95" spans="1:7" s="24" customFormat="1" x14ac:dyDescent="0.25">
      <c r="A95" s="144" t="s">
        <v>3322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5"/>
        <v>0</v>
      </c>
    </row>
    <row r="96" spans="1:7" s="24" customFormat="1" x14ac:dyDescent="0.25">
      <c r="A96" s="144" t="s">
        <v>3323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5"/>
        <v>0</v>
      </c>
    </row>
    <row r="97" spans="1:7" s="24" customFormat="1" x14ac:dyDescent="0.25">
      <c r="A97" s="144" t="s">
        <v>3324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4"/>
        <v>0</v>
      </c>
    </row>
    <row r="98" spans="1:7" s="24" customFormat="1" x14ac:dyDescent="0.25">
      <c r="A98" s="144" t="s">
        <v>3325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4"/>
        <v>0</v>
      </c>
    </row>
    <row r="99" spans="1:7" s="24" customFormat="1" x14ac:dyDescent="0.25">
      <c r="A99" s="144" t="s">
        <v>3326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4"/>
        <v>0</v>
      </c>
    </row>
    <row r="100" spans="1:7" s="24" customFormat="1" x14ac:dyDescent="0.25">
      <c r="A100" s="144" t="s">
        <v>3327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ref="G100:G121" si="6">D100-E100</f>
        <v>0</v>
      </c>
    </row>
    <row r="101" spans="1:7" s="24" customFormat="1" x14ac:dyDescent="0.25">
      <c r="A101" s="144" t="s">
        <v>3328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6"/>
        <v>0</v>
      </c>
    </row>
    <row r="102" spans="1:7" s="24" customFormat="1" x14ac:dyDescent="0.25">
      <c r="A102" s="144" t="s">
        <v>3329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si="6"/>
        <v>0</v>
      </c>
    </row>
    <row r="103" spans="1:7" s="24" customFormat="1" x14ac:dyDescent="0.25">
      <c r="A103" s="144" t="s">
        <v>3330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6"/>
        <v>0</v>
      </c>
    </row>
    <row r="104" spans="1:7" s="24" customFormat="1" x14ac:dyDescent="0.25">
      <c r="A104" s="144" t="s">
        <v>3331</v>
      </c>
      <c r="B104" s="60">
        <v>1700000</v>
      </c>
      <c r="C104" s="60">
        <v>300000</v>
      </c>
      <c r="D104" s="60">
        <v>2000000</v>
      </c>
      <c r="E104" s="60">
        <v>1566372.55</v>
      </c>
      <c r="F104" s="60">
        <v>1566372.55</v>
      </c>
      <c r="G104" s="60">
        <f t="shared" si="6"/>
        <v>433627.44999999995</v>
      </c>
    </row>
    <row r="105" spans="1:7" s="24" customFormat="1" x14ac:dyDescent="0.25">
      <c r="A105" s="144" t="s">
        <v>3332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f t="shared" si="6"/>
        <v>0</v>
      </c>
    </row>
    <row r="106" spans="1:7" s="24" customFormat="1" x14ac:dyDescent="0.25">
      <c r="A106" s="144" t="s">
        <v>3333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f t="shared" si="6"/>
        <v>0</v>
      </c>
    </row>
    <row r="107" spans="1:7" s="24" customFormat="1" x14ac:dyDescent="0.25">
      <c r="A107" s="144" t="s">
        <v>3334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6"/>
        <v>0</v>
      </c>
    </row>
    <row r="108" spans="1:7" s="24" customFormat="1" x14ac:dyDescent="0.25">
      <c r="A108" s="144" t="s">
        <v>3335</v>
      </c>
      <c r="B108" s="60">
        <v>1700000</v>
      </c>
      <c r="C108" s="60">
        <v>900000</v>
      </c>
      <c r="D108" s="60">
        <v>2600000</v>
      </c>
      <c r="E108" s="60">
        <v>1516576.3599999999</v>
      </c>
      <c r="F108" s="60">
        <v>1516576.3599999999</v>
      </c>
      <c r="G108" s="60">
        <f t="shared" si="6"/>
        <v>1083423.6400000001</v>
      </c>
    </row>
    <row r="109" spans="1:7" s="24" customFormat="1" x14ac:dyDescent="0.25">
      <c r="A109" s="144" t="s">
        <v>3336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6"/>
        <v>0</v>
      </c>
    </row>
    <row r="110" spans="1:7" s="24" customFormat="1" x14ac:dyDescent="0.25">
      <c r="A110" s="144" t="s">
        <v>3337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6"/>
        <v>0</v>
      </c>
    </row>
    <row r="111" spans="1:7" s="24" customFormat="1" x14ac:dyDescent="0.25">
      <c r="A111" s="144" t="s">
        <v>3338</v>
      </c>
      <c r="B111" s="60">
        <v>178889052.99000001</v>
      </c>
      <c r="C111" s="60">
        <v>12456507.98999998</v>
      </c>
      <c r="D111" s="60">
        <v>191345560.97999999</v>
      </c>
      <c r="E111" s="60">
        <v>129358686.44</v>
      </c>
      <c r="F111" s="60">
        <v>129358686.44</v>
      </c>
      <c r="G111" s="60">
        <f t="shared" si="6"/>
        <v>61986874.539999992</v>
      </c>
    </row>
    <row r="112" spans="1:7" s="24" customFormat="1" x14ac:dyDescent="0.25">
      <c r="A112" s="144" t="s">
        <v>3339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si="6"/>
        <v>0</v>
      </c>
    </row>
    <row r="113" spans="1:7" s="24" customFormat="1" x14ac:dyDescent="0.25">
      <c r="A113" s="144" t="s">
        <v>3340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6"/>
        <v>0</v>
      </c>
    </row>
    <row r="114" spans="1:7" s="24" customFormat="1" x14ac:dyDescent="0.25">
      <c r="A114" s="144" t="s">
        <v>3341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f t="shared" si="6"/>
        <v>0</v>
      </c>
    </row>
    <row r="115" spans="1:7" s="24" customFormat="1" x14ac:dyDescent="0.25">
      <c r="A115" s="144" t="s">
        <v>3342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f t="shared" ref="G115:G118" si="7">D115-E115</f>
        <v>0</v>
      </c>
    </row>
    <row r="116" spans="1:7" s="24" customFormat="1" x14ac:dyDescent="0.25">
      <c r="A116" s="144" t="s">
        <v>3343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7"/>
        <v>0</v>
      </c>
    </row>
    <row r="117" spans="1:7" s="24" customFormat="1" x14ac:dyDescent="0.25">
      <c r="A117" s="144" t="s">
        <v>3344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f t="shared" si="7"/>
        <v>0</v>
      </c>
    </row>
    <row r="118" spans="1:7" s="24" customFormat="1" x14ac:dyDescent="0.25">
      <c r="A118" s="144" t="s">
        <v>3345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si="7"/>
        <v>0</v>
      </c>
    </row>
    <row r="119" spans="1:7" s="24" customFormat="1" x14ac:dyDescent="0.25">
      <c r="A119" s="144" t="s">
        <v>3346</v>
      </c>
      <c r="B119" s="60">
        <v>1000000</v>
      </c>
      <c r="C119" s="60">
        <v>0</v>
      </c>
      <c r="D119" s="60">
        <v>1000000</v>
      </c>
      <c r="E119" s="60">
        <v>0</v>
      </c>
      <c r="F119" s="60">
        <v>0</v>
      </c>
      <c r="G119" s="60">
        <f t="shared" si="6"/>
        <v>1000000</v>
      </c>
    </row>
    <row r="120" spans="1:7" s="24" customFormat="1" x14ac:dyDescent="0.25">
      <c r="A120" s="144" t="s">
        <v>3347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f t="shared" si="6"/>
        <v>0</v>
      </c>
    </row>
    <row r="121" spans="1:7" s="24" customFormat="1" x14ac:dyDescent="0.25">
      <c r="A121" s="144" t="s">
        <v>3348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si="6"/>
        <v>0</v>
      </c>
    </row>
    <row r="122" spans="1:7" s="24" customFormat="1" x14ac:dyDescent="0.25">
      <c r="A122" s="144" t="s">
        <v>3349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f t="shared" ref="G122:G128" si="8">D122-E122</f>
        <v>0</v>
      </c>
    </row>
    <row r="123" spans="1:7" s="24" customFormat="1" x14ac:dyDescent="0.25">
      <c r="A123" s="144" t="s">
        <v>3350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8"/>
        <v>0</v>
      </c>
    </row>
    <row r="124" spans="1:7" s="24" customFormat="1" x14ac:dyDescent="0.25">
      <c r="A124" s="144" t="s">
        <v>3351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8"/>
        <v>0</v>
      </c>
    </row>
    <row r="125" spans="1:7" s="24" customFormat="1" x14ac:dyDescent="0.25">
      <c r="A125" s="144" t="s">
        <v>3352</v>
      </c>
      <c r="B125" s="60">
        <v>0</v>
      </c>
      <c r="C125" s="60">
        <v>49970471.419999994</v>
      </c>
      <c r="D125" s="60">
        <v>49970471.419999994</v>
      </c>
      <c r="E125" s="60">
        <v>46466150.329999991</v>
      </c>
      <c r="F125" s="60">
        <v>46466150.329999991</v>
      </c>
      <c r="G125" s="60">
        <f t="shared" si="8"/>
        <v>3504321.0900000036</v>
      </c>
    </row>
    <row r="126" spans="1:7" s="24" customFormat="1" x14ac:dyDescent="0.25">
      <c r="A126" s="144" t="s">
        <v>3353</v>
      </c>
      <c r="B126" s="60">
        <v>0</v>
      </c>
      <c r="C126" s="60">
        <v>56558517.639999993</v>
      </c>
      <c r="D126" s="60">
        <v>56558517.639999993</v>
      </c>
      <c r="E126" s="60">
        <v>55224138.230000004</v>
      </c>
      <c r="F126" s="60">
        <v>55224138.230000004</v>
      </c>
      <c r="G126" s="60">
        <f t="shared" si="8"/>
        <v>1334379.409999989</v>
      </c>
    </row>
    <row r="127" spans="1:7" s="24" customFormat="1" x14ac:dyDescent="0.25">
      <c r="A127" s="144" t="s">
        <v>3354</v>
      </c>
      <c r="B127" s="60">
        <v>0</v>
      </c>
      <c r="C127" s="60">
        <v>74661886.079999998</v>
      </c>
      <c r="D127" s="60">
        <v>74661886.079999998</v>
      </c>
      <c r="E127" s="60">
        <v>73530886.900000006</v>
      </c>
      <c r="F127" s="60">
        <v>73530886.900000006</v>
      </c>
      <c r="G127" s="60">
        <f t="shared" si="8"/>
        <v>1130999.1799999923</v>
      </c>
    </row>
    <row r="128" spans="1:7" s="24" customFormat="1" x14ac:dyDescent="0.25">
      <c r="A128" s="144"/>
      <c r="B128" s="60">
        <v>1</v>
      </c>
      <c r="C128" s="60">
        <v>1</v>
      </c>
      <c r="D128" s="60">
        <v>3</v>
      </c>
      <c r="E128" s="60">
        <v>1</v>
      </c>
      <c r="F128" s="60">
        <v>1</v>
      </c>
      <c r="G128" s="60">
        <f t="shared" si="8"/>
        <v>2</v>
      </c>
    </row>
    <row r="129" spans="1:7" x14ac:dyDescent="0.25">
      <c r="A129" s="76" t="s">
        <v>678</v>
      </c>
      <c r="B129" s="54"/>
      <c r="C129" s="54"/>
      <c r="D129" s="54"/>
      <c r="E129" s="54"/>
      <c r="F129" s="54"/>
      <c r="G129" s="54"/>
    </row>
    <row r="130" spans="1:7" x14ac:dyDescent="0.25">
      <c r="A130" s="55" t="s">
        <v>360</v>
      </c>
      <c r="B130" s="61">
        <f>GASTO_NE_T1+GASTO_E_T1</f>
        <v>503702455.86600006</v>
      </c>
      <c r="C130" s="61">
        <f>GASTO_NE_T2+GASTO_E_T2</f>
        <v>476614326.85399997</v>
      </c>
      <c r="D130" s="61">
        <f>GASTO_NE_T3+GASTO_E_T3</f>
        <v>980316783.71999991</v>
      </c>
      <c r="E130" s="61">
        <f>GASTO_NE_T4+GASTO_E_T4</f>
        <v>654070977.42999983</v>
      </c>
      <c r="F130" s="61">
        <f>GASTO_NE_T5+GASTO_E_T5</f>
        <v>650953898.77999997</v>
      </c>
      <c r="G130" s="61">
        <f>GASTO_NE_T6+GASTO_E_T6</f>
        <v>326245806.29000002</v>
      </c>
    </row>
    <row r="131" spans="1:7" x14ac:dyDescent="0.25">
      <c r="A131" s="58"/>
      <c r="B131" s="65"/>
      <c r="C131" s="65"/>
      <c r="D131" s="65"/>
      <c r="E131" s="65"/>
      <c r="F131" s="65"/>
      <c r="G131" s="78"/>
    </row>
    <row r="132" spans="1:7" hidden="1" x14ac:dyDescent="0.25">
      <c r="A132" s="11"/>
    </row>
    <row r="133" spans="1:7" x14ac:dyDescent="0.25"/>
    <row r="134" spans="1:7" x14ac:dyDescent="0.25"/>
    <row r="135" spans="1:7" x14ac:dyDescent="0.25"/>
    <row r="136" spans="1:7" x14ac:dyDescent="0.25"/>
    <row r="137" spans="1:7" x14ac:dyDescent="0.25"/>
    <row r="138" spans="1:7" x14ac:dyDescent="0.25"/>
    <row r="139" spans="1:7" x14ac:dyDescent="0.25"/>
    <row r="140" spans="1:7" x14ac:dyDescent="0.25"/>
    <row r="141" spans="1:7" x14ac:dyDescent="0.25"/>
    <row r="142" spans="1:7" x14ac:dyDescent="0.25"/>
    <row r="143" spans="1:7" x14ac:dyDescent="0.25"/>
    <row r="144" spans="1:7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30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315413401.87600005</v>
      </c>
      <c r="Q2" s="18">
        <f>GASTO_NE_T2</f>
        <v>275334483.824</v>
      </c>
      <c r="R2" s="18">
        <f>GASTO_NE_T3</f>
        <v>590747885.69999993</v>
      </c>
      <c r="S2" s="18">
        <f>GASTO_NE_T4</f>
        <v>340023277.96999985</v>
      </c>
      <c r="T2" s="18">
        <f>GASTO_NE_T5</f>
        <v>336906199.31999993</v>
      </c>
      <c r="U2" s="18">
        <f>GASTO_NE_T6</f>
        <v>250724607.73000005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188289053.99000001</v>
      </c>
      <c r="Q3" s="18">
        <f>GASTO_E_T2</f>
        <v>201279843.02999997</v>
      </c>
      <c r="R3" s="18">
        <f>GASTO_E_T3</f>
        <v>389568898.01999998</v>
      </c>
      <c r="S3" s="18">
        <f>GASTO_E_T4</f>
        <v>314047699.46000004</v>
      </c>
      <c r="T3" s="18">
        <f>GASTO_E_T5</f>
        <v>314047699.46000004</v>
      </c>
      <c r="U3" s="18">
        <f>GASTO_E_T6</f>
        <v>75521198.559999987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503702455.86600006</v>
      </c>
      <c r="Q4" s="18">
        <f>TOTAL_E_T2</f>
        <v>476614326.85399997</v>
      </c>
      <c r="R4" s="18">
        <f>TOTAL_E_T3</f>
        <v>980316783.71999991</v>
      </c>
      <c r="S4" s="18">
        <f>TOTAL_E_T4</f>
        <v>654070977.42999983</v>
      </c>
      <c r="T4" s="18">
        <f>TOTAL_E_T5</f>
        <v>650953898.77999997</v>
      </c>
      <c r="U4" s="18">
        <f>TOTAL_E_T6</f>
        <v>326245806.29000002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54" zoomScale="90" zoomScaleNormal="90" zoomScalePageLayoutView="90" workbookViewId="0">
      <selection activeCell="A33" sqref="A33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9" t="s">
        <v>3281</v>
      </c>
      <c r="B1" s="180"/>
      <c r="C1" s="180"/>
      <c r="D1" s="180"/>
      <c r="E1" s="180"/>
      <c r="F1" s="180"/>
      <c r="G1" s="180"/>
    </row>
    <row r="2" spans="1:7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396</v>
      </c>
      <c r="B3" s="158"/>
      <c r="C3" s="158"/>
      <c r="D3" s="158"/>
      <c r="E3" s="158"/>
      <c r="F3" s="158"/>
      <c r="G3" s="159"/>
    </row>
    <row r="4" spans="1:7" x14ac:dyDescent="0.25">
      <c r="A4" s="157" t="s">
        <v>397</v>
      </c>
      <c r="B4" s="158"/>
      <c r="C4" s="158"/>
      <c r="D4" s="158"/>
      <c r="E4" s="158"/>
      <c r="F4" s="158"/>
      <c r="G4" s="159"/>
    </row>
    <row r="5" spans="1:7" x14ac:dyDescent="0.2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58" t="s">
        <v>0</v>
      </c>
      <c r="B7" s="163" t="s">
        <v>279</v>
      </c>
      <c r="C7" s="164"/>
      <c r="D7" s="164"/>
      <c r="E7" s="164"/>
      <c r="F7" s="165"/>
      <c r="G7" s="175" t="s">
        <v>3278</v>
      </c>
    </row>
    <row r="8" spans="1:7" ht="30.75" customHeight="1" x14ac:dyDescent="0.25">
      <c r="A8" s="15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4"/>
    </row>
    <row r="9" spans="1:7" x14ac:dyDescent="0.25">
      <c r="A9" s="52" t="s">
        <v>363</v>
      </c>
      <c r="B9" s="70">
        <f>SUM(B10,B19,B27,B37)</f>
        <v>503702454.86600006</v>
      </c>
      <c r="C9" s="70">
        <f t="shared" ref="C9:G9" si="0">SUM(C10,C19,C27,C37)</f>
        <v>476614325.85399997</v>
      </c>
      <c r="D9" s="70">
        <f t="shared" si="0"/>
        <v>980316780.72000003</v>
      </c>
      <c r="E9" s="70">
        <f t="shared" si="0"/>
        <v>654070976.43000007</v>
      </c>
      <c r="F9" s="70">
        <f t="shared" si="0"/>
        <v>650953897.77999997</v>
      </c>
      <c r="G9" s="70">
        <f t="shared" si="0"/>
        <v>326245804.28999996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x14ac:dyDescent="0.2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x14ac:dyDescent="0.2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x14ac:dyDescent="0.2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x14ac:dyDescent="0.25">
      <c r="A19" s="53" t="s">
        <v>373</v>
      </c>
      <c r="B19" s="71">
        <f>SUM(B20:B26)</f>
        <v>503702454.86600006</v>
      </c>
      <c r="C19" s="71">
        <f t="shared" ref="C19:F19" si="3">SUM(C20:C26)</f>
        <v>476614325.85399997</v>
      </c>
      <c r="D19" s="71">
        <f t="shared" si="3"/>
        <v>980316780.72000003</v>
      </c>
      <c r="E19" s="71">
        <f t="shared" si="3"/>
        <v>654070976.43000007</v>
      </c>
      <c r="F19" s="71">
        <f t="shared" si="3"/>
        <v>650953897.77999997</v>
      </c>
      <c r="G19" s="71">
        <f>SUM(G20:G26)</f>
        <v>326245804.28999996</v>
      </c>
    </row>
    <row r="20" spans="1:7" x14ac:dyDescent="0.25">
      <c r="A20" s="63" t="s">
        <v>374</v>
      </c>
      <c r="B20" s="71"/>
      <c r="C20" s="71"/>
      <c r="D20" s="71"/>
      <c r="E20" s="71"/>
      <c r="F20" s="71"/>
      <c r="G20" s="72">
        <f>D20-E20</f>
        <v>0</v>
      </c>
    </row>
    <row r="21" spans="1:7" x14ac:dyDescent="0.25">
      <c r="A21" s="63" t="s">
        <v>375</v>
      </c>
      <c r="B21" s="71">
        <v>503702454.86600006</v>
      </c>
      <c r="C21" s="71">
        <v>476614325.85399997</v>
      </c>
      <c r="D21" s="71">
        <v>980316780.72000003</v>
      </c>
      <c r="E21" s="71">
        <v>654070976.43000007</v>
      </c>
      <c r="F21" s="71">
        <v>650953897.77999997</v>
      </c>
      <c r="G21" s="72">
        <f t="shared" ref="G21:G26" si="4">D21-E21</f>
        <v>326245804.28999996</v>
      </c>
    </row>
    <row r="22" spans="1:7" x14ac:dyDescent="0.25">
      <c r="A22" s="63" t="s">
        <v>376</v>
      </c>
      <c r="B22" s="71"/>
      <c r="C22" s="71"/>
      <c r="D22" s="71"/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/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x14ac:dyDescent="0.2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503702454.86600006</v>
      </c>
      <c r="C77" s="73">
        <f t="shared" ref="C77:F77" si="18">C43+C9</f>
        <v>476614325.85399997</v>
      </c>
      <c r="D77" s="73">
        <f t="shared" si="18"/>
        <v>980316780.72000003</v>
      </c>
      <c r="E77" s="73">
        <f t="shared" si="18"/>
        <v>654070976.43000007</v>
      </c>
      <c r="F77" s="73">
        <f t="shared" si="18"/>
        <v>650953897.77999997</v>
      </c>
      <c r="G77" s="73">
        <f>G43+G9</f>
        <v>326245804.28999996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503702454.86600006</v>
      </c>
      <c r="Q2" s="18">
        <f>'Formato 6 c)'!C9</f>
        <v>476614325.85399997</v>
      </c>
      <c r="R2" s="18">
        <f>'Formato 6 c)'!D9</f>
        <v>980316780.72000003</v>
      </c>
      <c r="S2" s="18">
        <f>'Formato 6 c)'!E9</f>
        <v>654070976.43000007</v>
      </c>
      <c r="T2" s="18">
        <f>'Formato 6 c)'!F9</f>
        <v>650953897.77999997</v>
      </c>
      <c r="U2" s="18">
        <f>'Formato 6 c)'!G9</f>
        <v>326245804.28999996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503702454.86600006</v>
      </c>
      <c r="Q12" s="18">
        <f>'Formato 6 c)'!C19</f>
        <v>476614325.85399997</v>
      </c>
      <c r="R12" s="18">
        <f>'Formato 6 c)'!D19</f>
        <v>980316780.72000003</v>
      </c>
      <c r="S12" s="18">
        <f>'Formato 6 c)'!E19</f>
        <v>654070976.43000007</v>
      </c>
      <c r="T12" s="18">
        <f>'Formato 6 c)'!F19</f>
        <v>650953897.77999997</v>
      </c>
      <c r="U12" s="18">
        <f>'Formato 6 c)'!G19</f>
        <v>326245804.28999996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503702454.86600006</v>
      </c>
      <c r="Q14" s="18">
        <f>'Formato 6 c)'!C21</f>
        <v>476614325.85399997</v>
      </c>
      <c r="R14" s="18">
        <f>'Formato 6 c)'!D21</f>
        <v>980316780.72000003</v>
      </c>
      <c r="S14" s="18">
        <f>'Formato 6 c)'!E21</f>
        <v>654070976.43000007</v>
      </c>
      <c r="T14" s="18">
        <f>'Formato 6 c)'!F21</f>
        <v>650953897.77999997</v>
      </c>
      <c r="U14" s="18">
        <f>'Formato 6 c)'!G21</f>
        <v>326245804.28999996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503702454.86600006</v>
      </c>
      <c r="Q68" s="18">
        <f>'Formato 6 c)'!C77</f>
        <v>476614325.85399997</v>
      </c>
      <c r="R68" s="18">
        <f>'Formato 6 c)'!D77</f>
        <v>980316780.72000003</v>
      </c>
      <c r="S68" s="18">
        <f>'Formato 6 c)'!E77</f>
        <v>654070976.43000007</v>
      </c>
      <c r="T68" s="18">
        <f>'Formato 6 c)'!F77</f>
        <v>650953897.77999997</v>
      </c>
      <c r="U68" s="18">
        <f>'Formato 6 c)'!G77</f>
        <v>326245804.28999996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2018</v>
      </c>
    </row>
    <row r="14" spans="2:3" x14ac:dyDescent="0.25">
      <c r="B14" t="s">
        <v>785</v>
      </c>
      <c r="C14" s="24" t="s">
        <v>3294</v>
      </c>
    </row>
    <row r="15" spans="2:3" x14ac:dyDescent="0.25">
      <c r="C15" s="24">
        <v>4</v>
      </c>
    </row>
    <row r="16" spans="2:3" x14ac:dyDescent="0.25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topLeftCell="A17" zoomScale="90" zoomScaleNormal="90" zoomScalePageLayoutView="90" workbookViewId="0">
      <selection activeCell="E17" sqref="E17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3" t="s">
        <v>3279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399</v>
      </c>
      <c r="B4" s="161"/>
      <c r="C4" s="161"/>
      <c r="D4" s="161"/>
      <c r="E4" s="161"/>
      <c r="F4" s="161"/>
      <c r="G4" s="162"/>
    </row>
    <row r="5" spans="1:7" x14ac:dyDescent="0.2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x14ac:dyDescent="0.2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361</v>
      </c>
      <c r="B7" s="174" t="s">
        <v>279</v>
      </c>
      <c r="C7" s="174"/>
      <c r="D7" s="174"/>
      <c r="E7" s="174"/>
      <c r="F7" s="174"/>
      <c r="G7" s="174" t="s">
        <v>280</v>
      </c>
    </row>
    <row r="8" spans="1:7" ht="29.25" customHeight="1" x14ac:dyDescent="0.25">
      <c r="A8" s="17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1"/>
    </row>
    <row r="9" spans="1:7" x14ac:dyDescent="0.25">
      <c r="A9" s="52" t="s">
        <v>400</v>
      </c>
      <c r="B9" s="66">
        <f>SUM(B10,B11,B12,B15,B16,B19)</f>
        <v>111506093.57600001</v>
      </c>
      <c r="C9" s="66">
        <f t="shared" ref="C9:F9" si="0">SUM(C10,C11,C12,C15,C16,C19)</f>
        <v>3.9999336004257202E-3</v>
      </c>
      <c r="D9" s="66">
        <f t="shared" si="0"/>
        <v>111506093.57999994</v>
      </c>
      <c r="E9" s="66">
        <f t="shared" si="0"/>
        <v>109213604.25999992</v>
      </c>
      <c r="F9" s="66">
        <f t="shared" si="0"/>
        <v>109213604.25999992</v>
      </c>
      <c r="G9" s="66">
        <f>SUM(G10,G11,G12,G15,G16,G19)</f>
        <v>2292489.3200000226</v>
      </c>
    </row>
    <row r="10" spans="1:7" x14ac:dyDescent="0.25">
      <c r="A10" s="53" t="s">
        <v>401</v>
      </c>
      <c r="B10" s="67">
        <v>111506093.57600001</v>
      </c>
      <c r="C10" s="67">
        <v>3.9999336004257202E-3</v>
      </c>
      <c r="D10" s="67">
        <v>111506093.57999994</v>
      </c>
      <c r="E10" s="67">
        <v>109213604.25999992</v>
      </c>
      <c r="F10" s="67">
        <v>109213604.25999992</v>
      </c>
      <c r="G10" s="67">
        <f>D10-E10</f>
        <v>2292489.3200000226</v>
      </c>
    </row>
    <row r="11" spans="1:7" x14ac:dyDescent="0.2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x14ac:dyDescent="0.2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x14ac:dyDescent="0.2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111506093.57600001</v>
      </c>
      <c r="C33" s="66">
        <f t="shared" ref="C33:G33" si="9">C21+C9</f>
        <v>3.9999336004257202E-3</v>
      </c>
      <c r="D33" s="66">
        <f t="shared" si="9"/>
        <v>111506093.57999994</v>
      </c>
      <c r="E33" s="66">
        <f t="shared" si="9"/>
        <v>109213604.25999992</v>
      </c>
      <c r="F33" s="66">
        <f t="shared" si="9"/>
        <v>109213604.25999992</v>
      </c>
      <c r="G33" s="66">
        <f t="shared" si="9"/>
        <v>2292489.3200000226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111506093.57600001</v>
      </c>
      <c r="Q2" s="18">
        <f>'Formato 6 d)'!C9</f>
        <v>3.9999336004257202E-3</v>
      </c>
      <c r="R2" s="18">
        <f>'Formato 6 d)'!D9</f>
        <v>111506093.57999994</v>
      </c>
      <c r="S2" s="18">
        <f>'Formato 6 d)'!E9</f>
        <v>109213604.25999992</v>
      </c>
      <c r="T2" s="18">
        <f>'Formato 6 d)'!F9</f>
        <v>109213604.25999992</v>
      </c>
      <c r="U2" s="18">
        <f>'Formato 6 d)'!G9</f>
        <v>2292489.3200000226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111506093.57600001</v>
      </c>
      <c r="Q3" s="18">
        <f>'Formato 6 d)'!C10</f>
        <v>3.9999336004257202E-3</v>
      </c>
      <c r="R3" s="18">
        <f>'Formato 6 d)'!D10</f>
        <v>111506093.57999994</v>
      </c>
      <c r="S3" s="18">
        <f>'Formato 6 d)'!E10</f>
        <v>109213604.25999992</v>
      </c>
      <c r="T3" s="18">
        <f>'Formato 6 d)'!F10</f>
        <v>109213604.25999992</v>
      </c>
      <c r="U3" s="18">
        <f>'Formato 6 d)'!G10</f>
        <v>2292489.3200000226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111506093.57600001</v>
      </c>
      <c r="Q24" s="18">
        <f>'Formato 6 d)'!C33</f>
        <v>3.9999336004257202E-3</v>
      </c>
      <c r="R24" s="18">
        <f>'Formato 6 d)'!D33</f>
        <v>111506093.57999994</v>
      </c>
      <c r="S24" s="18">
        <f>'Formato 6 d)'!E33</f>
        <v>109213604.25999992</v>
      </c>
      <c r="T24" s="18">
        <f>'Formato 6 d)'!F33</f>
        <v>109213604.25999992</v>
      </c>
      <c r="U24" s="18">
        <f>'Formato 6 d)'!G33</f>
        <v>2292489.3200000226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27" workbookViewId="0">
      <selection sqref="A1:G1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2" t="s">
        <v>413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414</v>
      </c>
      <c r="B3" s="158"/>
      <c r="C3" s="158"/>
      <c r="D3" s="158"/>
      <c r="E3" s="158"/>
      <c r="F3" s="158"/>
      <c r="G3" s="159"/>
    </row>
    <row r="4" spans="1:7" x14ac:dyDescent="0.25">
      <c r="A4" s="157" t="s">
        <v>118</v>
      </c>
      <c r="B4" s="158"/>
      <c r="C4" s="158"/>
      <c r="D4" s="158"/>
      <c r="E4" s="158"/>
      <c r="F4" s="158"/>
      <c r="G4" s="159"/>
    </row>
    <row r="5" spans="1:7" x14ac:dyDescent="0.25">
      <c r="A5" s="157" t="s">
        <v>415</v>
      </c>
      <c r="B5" s="158"/>
      <c r="C5" s="158"/>
      <c r="D5" s="158"/>
      <c r="E5" s="158"/>
      <c r="F5" s="158"/>
      <c r="G5" s="159"/>
    </row>
    <row r="6" spans="1:7" x14ac:dyDescent="0.25">
      <c r="A6" s="169" t="s">
        <v>3280</v>
      </c>
      <c r="B6" s="51">
        <f>ANIO1P</f>
        <v>2019</v>
      </c>
      <c r="C6" s="182" t="str">
        <f>ANIO2P</f>
        <v>2020 (d)</v>
      </c>
      <c r="D6" s="182" t="str">
        <f>ANIO3P</f>
        <v>2021 (d)</v>
      </c>
      <c r="E6" s="182" t="str">
        <f>ANIO4P</f>
        <v>2022 (d)</v>
      </c>
      <c r="F6" s="182" t="str">
        <f>ANIO5P</f>
        <v>2023 (d)</v>
      </c>
      <c r="G6" s="182" t="str">
        <f>ANIO6P</f>
        <v>2024 (d)</v>
      </c>
    </row>
    <row r="7" spans="1:7" ht="48" customHeight="1" x14ac:dyDescent="0.25">
      <c r="A7" s="170"/>
      <c r="B7" s="88" t="s">
        <v>3283</v>
      </c>
      <c r="C7" s="183"/>
      <c r="D7" s="183"/>
      <c r="E7" s="183"/>
      <c r="F7" s="183"/>
      <c r="G7" s="183"/>
    </row>
    <row r="8" spans="1:7" x14ac:dyDescent="0.25">
      <c r="A8" s="52" t="s">
        <v>421</v>
      </c>
      <c r="B8" s="59">
        <f>SUM(B9:B20)</f>
        <v>449901727.82999998</v>
      </c>
      <c r="C8" s="59">
        <f t="shared" ref="C8:G8" si="0">SUM(C9:C20)</f>
        <v>494891900.61300009</v>
      </c>
      <c r="D8" s="59">
        <f t="shared" si="0"/>
        <v>544381090.67430007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27136831.210000001</v>
      </c>
      <c r="C13" s="60">
        <f>+B13*1.1</f>
        <v>29850514.331000004</v>
      </c>
      <c r="D13" s="60">
        <f>+C13*1.1</f>
        <v>32835565.764100008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422764896.62</v>
      </c>
      <c r="C15" s="60">
        <f>+B15*1.1</f>
        <v>465041386.28200006</v>
      </c>
      <c r="D15" s="60">
        <f>+C15*1.1</f>
        <v>511545524.91020012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136701828.80000001</v>
      </c>
      <c r="C22" s="61">
        <f t="shared" ref="C22:G22" si="1">SUM(C23:C27)</f>
        <v>150372011.68000004</v>
      </c>
      <c r="D22" s="61">
        <f t="shared" si="1"/>
        <v>165409212.84800005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136701828.80000001</v>
      </c>
      <c r="C27" s="60">
        <f>+B27*1.1</f>
        <v>150372011.68000004</v>
      </c>
      <c r="D27" s="60">
        <f>+C27*1.1</f>
        <v>165409212.84800005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586603556.63</v>
      </c>
      <c r="C32" s="61">
        <f t="shared" ref="C32:F32" si="2">C29+C22+C8</f>
        <v>645263912.2930001</v>
      </c>
      <c r="D32" s="61">
        <f t="shared" si="2"/>
        <v>709790303.52230012</v>
      </c>
      <c r="E32" s="61">
        <f t="shared" si="2"/>
        <v>0</v>
      </c>
      <c r="F32" s="61">
        <f t="shared" si="2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3">C36+C35</f>
        <v>0</v>
      </c>
      <c r="D37" s="61">
        <f t="shared" si="3"/>
        <v>0</v>
      </c>
      <c r="E37" s="61">
        <f t="shared" si="3"/>
        <v>0</v>
      </c>
      <c r="F37" s="61">
        <f t="shared" si="3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449901727.82999998</v>
      </c>
      <c r="Q2" s="18">
        <f>'Formato 7 a)'!C8</f>
        <v>494891900.61300009</v>
      </c>
      <c r="R2" s="18">
        <f>'Formato 7 a)'!D8</f>
        <v>544381090.67430007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27136831.210000001</v>
      </c>
      <c r="Q7" s="18">
        <f>'Formato 7 a)'!C13</f>
        <v>29850514.331000004</v>
      </c>
      <c r="R7" s="18">
        <f>'Formato 7 a)'!D13</f>
        <v>32835565.764100008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422764896.62</v>
      </c>
      <c r="Q9" s="18">
        <f>'Formato 7 a)'!C15</f>
        <v>465041386.28200006</v>
      </c>
      <c r="R9" s="18">
        <f>'Formato 7 a)'!D15</f>
        <v>511545524.91020012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136701828.80000001</v>
      </c>
      <c r="Q15" s="18">
        <f>'Formato 7 a)'!C22</f>
        <v>150372011.68000004</v>
      </c>
      <c r="R15" s="18">
        <f>'Formato 7 a)'!D22</f>
        <v>165409212.84800005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136701828.80000001</v>
      </c>
      <c r="Q20" s="18">
        <f>'Formato 7 a)'!C27</f>
        <v>150372011.68000004</v>
      </c>
      <c r="R20" s="18">
        <f>'Formato 7 a)'!D27</f>
        <v>165409212.84800005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586603556.63</v>
      </c>
      <c r="Q23" s="18">
        <f>'Formato 7 a)'!C32</f>
        <v>645263912.2930001</v>
      </c>
      <c r="R23" s="18">
        <f>'Formato 7 a)'!D32</f>
        <v>709790303.52230012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topLeftCell="A3" zoomScale="90" zoomScaleNormal="90" zoomScalePageLayoutView="90" workbookViewId="0">
      <selection activeCell="A24" sqref="A2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2" t="s">
        <v>443</v>
      </c>
      <c r="B1" s="172"/>
      <c r="C1" s="172"/>
      <c r="D1" s="172"/>
      <c r="E1" s="172"/>
      <c r="F1" s="172"/>
      <c r="G1" s="172"/>
    </row>
    <row r="2" spans="1:7" customFormat="1" x14ac:dyDescent="0.25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customFormat="1" x14ac:dyDescent="0.25">
      <c r="A3" s="157" t="s">
        <v>444</v>
      </c>
      <c r="B3" s="158"/>
      <c r="C3" s="158"/>
      <c r="D3" s="158"/>
      <c r="E3" s="158"/>
      <c r="F3" s="158"/>
      <c r="G3" s="159"/>
    </row>
    <row r="4" spans="1:7" customFormat="1" x14ac:dyDescent="0.25">
      <c r="A4" s="157" t="s">
        <v>118</v>
      </c>
      <c r="B4" s="158"/>
      <c r="C4" s="158"/>
      <c r="D4" s="158"/>
      <c r="E4" s="158"/>
      <c r="F4" s="158"/>
      <c r="G4" s="159"/>
    </row>
    <row r="5" spans="1:7" customFormat="1" x14ac:dyDescent="0.25">
      <c r="A5" s="157" t="s">
        <v>415</v>
      </c>
      <c r="B5" s="158"/>
      <c r="C5" s="158"/>
      <c r="D5" s="158"/>
      <c r="E5" s="158"/>
      <c r="F5" s="158"/>
      <c r="G5" s="159"/>
    </row>
    <row r="6" spans="1:7" customFormat="1" x14ac:dyDescent="0.25">
      <c r="A6" s="184" t="s">
        <v>3134</v>
      </c>
      <c r="B6" s="51">
        <f>ANIO1P</f>
        <v>2019</v>
      </c>
      <c r="C6" s="182" t="str">
        <f>ANIO2P</f>
        <v>2020 (d)</v>
      </c>
      <c r="D6" s="182" t="str">
        <f>ANIO3P</f>
        <v>2021 (d)</v>
      </c>
      <c r="E6" s="182" t="str">
        <f>ANIO4P</f>
        <v>2022 (d)</v>
      </c>
      <c r="F6" s="182" t="str">
        <f>ANIO5P</f>
        <v>2023 (d)</v>
      </c>
      <c r="G6" s="182" t="str">
        <f>ANIO6P</f>
        <v>2024 (d)</v>
      </c>
    </row>
    <row r="7" spans="1:7" customFormat="1" ht="48" customHeight="1" x14ac:dyDescent="0.25">
      <c r="A7" s="185"/>
      <c r="B7" s="88" t="s">
        <v>3283</v>
      </c>
      <c r="C7" s="183"/>
      <c r="D7" s="183"/>
      <c r="E7" s="183"/>
      <c r="F7" s="183"/>
      <c r="G7" s="183"/>
    </row>
    <row r="8" spans="1:7" x14ac:dyDescent="0.25">
      <c r="A8" s="52" t="s">
        <v>445</v>
      </c>
      <c r="B8" s="59">
        <f>SUM(B9:B17)</f>
        <v>376307587.42999995</v>
      </c>
      <c r="C8" s="59">
        <f t="shared" ref="C8:G8" si="0">SUM(C9:C17)</f>
        <v>413938346.1730001</v>
      </c>
      <c r="D8" s="59">
        <f t="shared" si="0"/>
        <v>455332180.79030013</v>
      </c>
      <c r="E8" s="59">
        <f t="shared" si="0"/>
        <v>500865398.86933017</v>
      </c>
      <c r="F8" s="59">
        <f t="shared" si="0"/>
        <v>550951938.75626326</v>
      </c>
      <c r="G8" s="59">
        <f t="shared" si="0"/>
        <v>606047132.63188958</v>
      </c>
    </row>
    <row r="9" spans="1:7" x14ac:dyDescent="0.25">
      <c r="A9" s="53" t="s">
        <v>446</v>
      </c>
      <c r="B9" s="60">
        <v>114851276.38</v>
      </c>
      <c r="C9" s="60">
        <f>B9*1.03</f>
        <v>118296814.6714</v>
      </c>
      <c r="D9" s="60">
        <f>C9*1.03</f>
        <v>121845719.111542</v>
      </c>
      <c r="E9" s="60">
        <f>D9*1.03</f>
        <v>125501090.68488826</v>
      </c>
      <c r="F9" s="60">
        <f>E9*1.03</f>
        <v>129266123.40543491</v>
      </c>
      <c r="G9" s="60">
        <f>F9*1.03</f>
        <v>133144107.10759796</v>
      </c>
    </row>
    <row r="10" spans="1:7" x14ac:dyDescent="0.25">
      <c r="A10" s="53" t="s">
        <v>447</v>
      </c>
      <c r="B10" s="60">
        <v>96482023.739999965</v>
      </c>
      <c r="C10" s="60">
        <f t="shared" ref="C10:G10" si="1">B10*1.03</f>
        <v>99376484.452199966</v>
      </c>
      <c r="D10" s="60">
        <f t="shared" si="1"/>
        <v>102357778.98576596</v>
      </c>
      <c r="E10" s="60">
        <f t="shared" si="1"/>
        <v>105428512.35533895</v>
      </c>
      <c r="F10" s="60">
        <f t="shared" si="1"/>
        <v>108591367.72599912</v>
      </c>
      <c r="G10" s="60">
        <f t="shared" si="1"/>
        <v>111849108.75777909</v>
      </c>
    </row>
    <row r="11" spans="1:7" x14ac:dyDescent="0.25">
      <c r="A11" s="53" t="s">
        <v>448</v>
      </c>
      <c r="B11" s="60">
        <v>135443264.41000003</v>
      </c>
      <c r="C11" s="60">
        <f t="shared" ref="C11:G11" si="2">B11*1.03</f>
        <v>139506562.34230003</v>
      </c>
      <c r="D11" s="60">
        <f t="shared" si="2"/>
        <v>143691759.21256903</v>
      </c>
      <c r="E11" s="60">
        <f t="shared" si="2"/>
        <v>148002511.98894611</v>
      </c>
      <c r="F11" s="60">
        <f t="shared" si="2"/>
        <v>152442587.34861448</v>
      </c>
      <c r="G11" s="60">
        <f t="shared" si="2"/>
        <v>157015864.96907291</v>
      </c>
    </row>
    <row r="12" spans="1:7" x14ac:dyDescent="0.25">
      <c r="A12" s="53" t="s">
        <v>449</v>
      </c>
      <c r="B12" s="60">
        <v>2374447.9300000002</v>
      </c>
      <c r="C12" s="60">
        <f t="shared" ref="C12:G12" si="3">B12*1.03</f>
        <v>2445681.3679000004</v>
      </c>
      <c r="D12" s="60">
        <f t="shared" si="3"/>
        <v>2519051.8089370006</v>
      </c>
      <c r="E12" s="60">
        <f t="shared" si="3"/>
        <v>2594623.3632051107</v>
      </c>
      <c r="F12" s="60">
        <f t="shared" si="3"/>
        <v>2672462.0641012639</v>
      </c>
      <c r="G12" s="60">
        <f t="shared" si="3"/>
        <v>2752635.9260243019</v>
      </c>
    </row>
    <row r="13" spans="1:7" x14ac:dyDescent="0.25">
      <c r="A13" s="53" t="s">
        <v>450</v>
      </c>
      <c r="B13" s="60">
        <v>27156574.969999999</v>
      </c>
      <c r="C13" s="60">
        <f t="shared" ref="C13:G13" si="4">B13*1.03</f>
        <v>27971272.219099998</v>
      </c>
      <c r="D13" s="60">
        <f t="shared" si="4"/>
        <v>28810410.385672998</v>
      </c>
      <c r="E13" s="60">
        <f t="shared" si="4"/>
        <v>29674722.697243188</v>
      </c>
      <c r="F13" s="60">
        <f t="shared" si="4"/>
        <v>30564964.378160484</v>
      </c>
      <c r="G13" s="60">
        <f t="shared" si="4"/>
        <v>31481913.309505299</v>
      </c>
    </row>
    <row r="14" spans="1:7" x14ac:dyDescent="0.25">
      <c r="A14" s="53" t="s">
        <v>451</v>
      </c>
      <c r="B14" s="60"/>
      <c r="C14" s="60"/>
      <c r="D14" s="60"/>
      <c r="E14" s="60"/>
      <c r="F14" s="60"/>
      <c r="G14" s="60"/>
    </row>
    <row r="15" spans="1:7" x14ac:dyDescent="0.25">
      <c r="A15" s="53" t="s">
        <v>452</v>
      </c>
      <c r="B15" s="60"/>
      <c r="C15" s="60">
        <v>26341531.120100141</v>
      </c>
      <c r="D15" s="60">
        <v>56107461.285813093</v>
      </c>
      <c r="E15" s="60">
        <v>89663937.779708505</v>
      </c>
      <c r="F15" s="60">
        <v>127414433.8339529</v>
      </c>
      <c r="G15" s="60">
        <v>169803502.56191003</v>
      </c>
    </row>
    <row r="16" spans="1:7" x14ac:dyDescent="0.25">
      <c r="A16" s="53" t="s">
        <v>453</v>
      </c>
      <c r="B16" s="60"/>
      <c r="C16" s="60"/>
      <c r="D16" s="60"/>
      <c r="E16" s="60"/>
      <c r="F16" s="60"/>
      <c r="G16" s="60"/>
    </row>
    <row r="17" spans="1:7" x14ac:dyDescent="0.25">
      <c r="A17" s="53" t="s">
        <v>454</v>
      </c>
      <c r="B17" s="60"/>
      <c r="C17" s="60"/>
      <c r="D17" s="60"/>
      <c r="E17" s="60"/>
      <c r="F17" s="60"/>
      <c r="G17" s="60"/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210295969.19999999</v>
      </c>
      <c r="C19" s="61">
        <f t="shared" ref="C19:G19" si="5">SUM(C20:C28)</f>
        <v>231325566.12</v>
      </c>
      <c r="D19" s="61">
        <f t="shared" si="5"/>
        <v>254458122.73200002</v>
      </c>
      <c r="E19" s="61">
        <f t="shared" si="5"/>
        <v>279903935.00520003</v>
      </c>
      <c r="F19" s="61">
        <f t="shared" si="5"/>
        <v>307894328.50572008</v>
      </c>
      <c r="G19" s="61">
        <f t="shared" si="5"/>
        <v>338683761.35629213</v>
      </c>
    </row>
    <row r="20" spans="1:7" x14ac:dyDescent="0.25">
      <c r="A20" s="53" t="s">
        <v>446</v>
      </c>
      <c r="B20" s="60"/>
      <c r="C20" s="60"/>
      <c r="D20" s="60"/>
      <c r="E20" s="60"/>
      <c r="F20" s="60"/>
      <c r="G20" s="60"/>
    </row>
    <row r="21" spans="1:7" x14ac:dyDescent="0.25">
      <c r="A21" s="53" t="s">
        <v>447</v>
      </c>
      <c r="B21" s="60"/>
      <c r="C21" s="60"/>
      <c r="D21" s="60"/>
      <c r="E21" s="60"/>
      <c r="F21" s="60"/>
      <c r="G21" s="60"/>
    </row>
    <row r="22" spans="1:7" x14ac:dyDescent="0.25">
      <c r="A22" s="53" t="s">
        <v>448</v>
      </c>
      <c r="B22" s="60"/>
      <c r="C22" s="60"/>
      <c r="D22" s="60"/>
      <c r="E22" s="60"/>
      <c r="F22" s="60"/>
      <c r="G22" s="60"/>
    </row>
    <row r="23" spans="1:7" x14ac:dyDescent="0.25">
      <c r="A23" s="53" t="s">
        <v>449</v>
      </c>
      <c r="B23" s="60"/>
      <c r="C23" s="60"/>
      <c r="D23" s="60"/>
      <c r="E23" s="60"/>
      <c r="F23" s="60"/>
      <c r="G23" s="60"/>
    </row>
    <row r="24" spans="1:7" x14ac:dyDescent="0.25">
      <c r="A24" s="53" t="s">
        <v>450</v>
      </c>
      <c r="B24" s="60"/>
      <c r="C24" s="60"/>
      <c r="D24" s="60"/>
      <c r="E24" s="60"/>
      <c r="F24" s="60"/>
      <c r="G24" s="60"/>
    </row>
    <row r="25" spans="1:7" x14ac:dyDescent="0.25">
      <c r="A25" s="53" t="s">
        <v>451</v>
      </c>
      <c r="B25" s="60">
        <v>210295969.19999999</v>
      </c>
      <c r="C25" s="60">
        <f>B25*1.1</f>
        <v>231325566.12</v>
      </c>
      <c r="D25" s="60">
        <f>C25*1.1</f>
        <v>254458122.73200002</v>
      </c>
      <c r="E25" s="60">
        <f>D25*1.1</f>
        <v>279903935.00520003</v>
      </c>
      <c r="F25" s="60">
        <f>E25*1.1</f>
        <v>307894328.50572008</v>
      </c>
      <c r="G25" s="60">
        <f>F25*1.1</f>
        <v>338683761.35629213</v>
      </c>
    </row>
    <row r="26" spans="1:7" x14ac:dyDescent="0.25">
      <c r="A26" s="53" t="s">
        <v>452</v>
      </c>
      <c r="B26" s="60"/>
      <c r="C26" s="60"/>
      <c r="D26" s="60"/>
      <c r="E26" s="60"/>
      <c r="F26" s="60"/>
      <c r="G26" s="60"/>
    </row>
    <row r="27" spans="1:7" x14ac:dyDescent="0.25">
      <c r="A27" s="53" t="s">
        <v>456</v>
      </c>
      <c r="B27" s="60"/>
      <c r="C27" s="60"/>
      <c r="D27" s="60"/>
      <c r="E27" s="60"/>
      <c r="F27" s="60"/>
      <c r="G27" s="60"/>
    </row>
    <row r="28" spans="1:7" x14ac:dyDescent="0.25">
      <c r="A28" s="53" t="s">
        <v>454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586603556.62999988</v>
      </c>
      <c r="C30" s="61">
        <f t="shared" ref="C30:G30" si="6">C8+C19</f>
        <v>645263912.2930001</v>
      </c>
      <c r="D30" s="61">
        <f t="shared" si="6"/>
        <v>709790303.52230012</v>
      </c>
      <c r="E30" s="61">
        <f t="shared" si="6"/>
        <v>780769333.8745302</v>
      </c>
      <c r="F30" s="61">
        <f t="shared" si="6"/>
        <v>858846267.26198339</v>
      </c>
      <c r="G30" s="61">
        <f t="shared" si="6"/>
        <v>944730893.98818171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376307587.42999995</v>
      </c>
      <c r="Q2" s="18">
        <f>'Formato 7 b)'!C8</f>
        <v>413938346.1730001</v>
      </c>
      <c r="R2" s="18">
        <f>'Formato 7 b)'!D8</f>
        <v>455332180.79030013</v>
      </c>
      <c r="S2" s="18">
        <f>'Formato 7 b)'!E8</f>
        <v>500865398.86933017</v>
      </c>
      <c r="T2" s="18">
        <f>'Formato 7 b)'!F8</f>
        <v>550951938.75626326</v>
      </c>
      <c r="U2" s="18">
        <f>'Formato 7 b)'!G8</f>
        <v>606047132.63188958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114851276.38</v>
      </c>
      <c r="Q3" s="18">
        <f>'Formato 7 b)'!C9</f>
        <v>118296814.6714</v>
      </c>
      <c r="R3" s="18">
        <f>'Formato 7 b)'!D9</f>
        <v>121845719.111542</v>
      </c>
      <c r="S3" s="18">
        <f>'Formato 7 b)'!E9</f>
        <v>125501090.68488826</v>
      </c>
      <c r="T3" s="18">
        <f>'Formato 7 b)'!F9</f>
        <v>129266123.40543491</v>
      </c>
      <c r="U3" s="18">
        <f>'Formato 7 b)'!G9</f>
        <v>133144107.10759796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96482023.739999965</v>
      </c>
      <c r="Q4" s="18">
        <f>'Formato 7 b)'!C10</f>
        <v>99376484.452199966</v>
      </c>
      <c r="R4" s="18">
        <f>'Formato 7 b)'!D10</f>
        <v>102357778.98576596</v>
      </c>
      <c r="S4" s="18">
        <f>'Formato 7 b)'!E10</f>
        <v>105428512.35533895</v>
      </c>
      <c r="T4" s="18">
        <f>'Formato 7 b)'!F10</f>
        <v>108591367.72599912</v>
      </c>
      <c r="U4" s="18">
        <f>'Formato 7 b)'!G10</f>
        <v>111849108.75777909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135443264.41000003</v>
      </c>
      <c r="Q5" s="18">
        <f>'Formato 7 b)'!C11</f>
        <v>139506562.34230003</v>
      </c>
      <c r="R5" s="18">
        <f>'Formato 7 b)'!D11</f>
        <v>143691759.21256903</v>
      </c>
      <c r="S5" s="18">
        <f>'Formato 7 b)'!E11</f>
        <v>148002511.98894611</v>
      </c>
      <c r="T5" s="18">
        <f>'Formato 7 b)'!F11</f>
        <v>152442587.34861448</v>
      </c>
      <c r="U5" s="18">
        <f>'Formato 7 b)'!G11</f>
        <v>157015864.96907291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2374447.9300000002</v>
      </c>
      <c r="Q6" s="18">
        <f>'Formato 7 b)'!C12</f>
        <v>2445681.3679000004</v>
      </c>
      <c r="R6" s="18">
        <f>'Formato 7 b)'!D12</f>
        <v>2519051.8089370006</v>
      </c>
      <c r="S6" s="18">
        <f>'Formato 7 b)'!E12</f>
        <v>2594623.3632051107</v>
      </c>
      <c r="T6" s="18">
        <f>'Formato 7 b)'!F12</f>
        <v>2672462.0641012639</v>
      </c>
      <c r="U6" s="18">
        <f>'Formato 7 b)'!G12</f>
        <v>2752635.9260243019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27156574.969999999</v>
      </c>
      <c r="Q7" s="18">
        <f>'Formato 7 b)'!C13</f>
        <v>27971272.219099998</v>
      </c>
      <c r="R7" s="18">
        <f>'Formato 7 b)'!D13</f>
        <v>28810410.385672998</v>
      </c>
      <c r="S7" s="18">
        <f>'Formato 7 b)'!E13</f>
        <v>29674722.697243188</v>
      </c>
      <c r="T7" s="18">
        <f>'Formato 7 b)'!F13</f>
        <v>30564964.378160484</v>
      </c>
      <c r="U7" s="18">
        <f>'Formato 7 b)'!G13</f>
        <v>31481913.309505299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26341531.120100141</v>
      </c>
      <c r="R9" s="18">
        <f>'Formato 7 b)'!D15</f>
        <v>56107461.285813093</v>
      </c>
      <c r="S9" s="18">
        <f>'Formato 7 b)'!E15</f>
        <v>89663937.779708505</v>
      </c>
      <c r="T9" s="18">
        <f>'Formato 7 b)'!F15</f>
        <v>127414433.8339529</v>
      </c>
      <c r="U9" s="18">
        <f>'Formato 7 b)'!G15</f>
        <v>169803502.56191003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210295969.19999999</v>
      </c>
      <c r="Q12" s="18">
        <f>'Formato 7 b)'!C19</f>
        <v>231325566.12</v>
      </c>
      <c r="R12" s="18">
        <f>'Formato 7 b)'!D19</f>
        <v>254458122.73200002</v>
      </c>
      <c r="S12" s="18">
        <f>'Formato 7 b)'!E19</f>
        <v>279903935.00520003</v>
      </c>
      <c r="T12" s="18">
        <f>'Formato 7 b)'!F19</f>
        <v>307894328.50572008</v>
      </c>
      <c r="U12" s="18">
        <f>'Formato 7 b)'!G19</f>
        <v>338683761.35629213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210295969.19999999</v>
      </c>
      <c r="Q18" s="18">
        <f>'Formato 7 b)'!C25</f>
        <v>231325566.12</v>
      </c>
      <c r="R18" s="18">
        <f>'Formato 7 b)'!D25</f>
        <v>254458122.73200002</v>
      </c>
      <c r="S18" s="18">
        <f>'Formato 7 b)'!E25</f>
        <v>279903935.00520003</v>
      </c>
      <c r="T18" s="18">
        <f>'Formato 7 b)'!F25</f>
        <v>307894328.50572008</v>
      </c>
      <c r="U18" s="18">
        <f>'Formato 7 b)'!G25</f>
        <v>338683761.35629213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586603556.62999988</v>
      </c>
      <c r="Q22" s="18">
        <f>'Formato 7 b)'!C30</f>
        <v>645263912.2930001</v>
      </c>
      <c r="R22" s="18">
        <f>'Formato 7 b)'!D30</f>
        <v>709790303.52230012</v>
      </c>
      <c r="S22" s="18">
        <f>'Formato 7 b)'!E30</f>
        <v>780769333.8745302</v>
      </c>
      <c r="T22" s="18">
        <f>'Formato 7 b)'!F30</f>
        <v>858846267.26198339</v>
      </c>
      <c r="U22" s="18">
        <f>'Formato 7 b)'!G30</f>
        <v>944730893.98818171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workbookViewId="0">
      <selection activeCell="A26" sqref="A26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2" t="s">
        <v>458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459</v>
      </c>
      <c r="B3" s="158"/>
      <c r="C3" s="158"/>
      <c r="D3" s="158"/>
      <c r="E3" s="158"/>
      <c r="F3" s="158"/>
      <c r="G3" s="159"/>
    </row>
    <row r="4" spans="1:7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89" t="s">
        <v>3280</v>
      </c>
      <c r="B5" s="187" t="str">
        <f>ANIO5R</f>
        <v>2013 ¹ (c)</v>
      </c>
      <c r="C5" s="187" t="str">
        <f>ANIO4R</f>
        <v>2014 ¹ (c)</v>
      </c>
      <c r="D5" s="187" t="str">
        <f>ANIO3R</f>
        <v>2015 ¹ (c)</v>
      </c>
      <c r="E5" s="187" t="str">
        <f>ANIO2R</f>
        <v>2016 ¹ (c)</v>
      </c>
      <c r="F5" s="187" t="str">
        <f>ANIO1R</f>
        <v>2017 ¹ (c)</v>
      </c>
      <c r="G5" s="51">
        <f>ANIO_INFORME</f>
        <v>2018</v>
      </c>
    </row>
    <row r="6" spans="1:7" ht="32.1" customHeight="1" x14ac:dyDescent="0.25">
      <c r="A6" s="190"/>
      <c r="B6" s="188"/>
      <c r="C6" s="188"/>
      <c r="D6" s="188"/>
      <c r="E6" s="188"/>
      <c r="F6" s="188"/>
      <c r="G6" s="88" t="s">
        <v>3286</v>
      </c>
    </row>
    <row r="7" spans="1:7" x14ac:dyDescent="0.25">
      <c r="A7" s="52" t="s">
        <v>460</v>
      </c>
      <c r="B7" s="59">
        <f>SUM(B8:B19)</f>
        <v>260103560.93000001</v>
      </c>
      <c r="C7" s="59">
        <f t="shared" ref="C7:G7" si="0">SUM(C8:C19)</f>
        <v>283207289.01999998</v>
      </c>
      <c r="D7" s="59">
        <f t="shared" si="0"/>
        <v>331977887.20000005</v>
      </c>
      <c r="E7" s="59">
        <f t="shared" si="0"/>
        <v>373817893.09000003</v>
      </c>
      <c r="F7" s="59">
        <f t="shared" si="0"/>
        <v>410576238.33999997</v>
      </c>
      <c r="G7" s="59">
        <f t="shared" si="0"/>
        <v>409857877.19999999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1907916.07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466</v>
      </c>
      <c r="B13" s="60">
        <v>214837.25</v>
      </c>
      <c r="C13" s="60">
        <v>123373.67</v>
      </c>
      <c r="D13" s="60">
        <v>4355.17</v>
      </c>
      <c r="E13" s="60">
        <v>117325</v>
      </c>
      <c r="F13" s="60">
        <v>1338896.3400000001</v>
      </c>
      <c r="G13" s="60">
        <v>0</v>
      </c>
    </row>
    <row r="14" spans="1:7" x14ac:dyDescent="0.25">
      <c r="A14" s="53" t="s">
        <v>467</v>
      </c>
      <c r="B14" s="60">
        <v>91348047.310000002</v>
      </c>
      <c r="C14" s="60">
        <v>87095031.349999994</v>
      </c>
      <c r="D14" s="60">
        <v>115679765.76000001</v>
      </c>
      <c r="E14" s="60">
        <v>157284045.71000001</v>
      </c>
      <c r="F14" s="60">
        <v>48411016.899999999</v>
      </c>
      <c r="G14" s="60">
        <v>10500000</v>
      </c>
    </row>
    <row r="15" spans="1:7" x14ac:dyDescent="0.25">
      <c r="A15" s="53" t="s">
        <v>468</v>
      </c>
      <c r="B15" s="60">
        <v>168540676.37</v>
      </c>
      <c r="C15" s="60">
        <v>195988884</v>
      </c>
      <c r="D15" s="60">
        <v>216293766.27000001</v>
      </c>
      <c r="E15" s="60">
        <v>216416522.38</v>
      </c>
      <c r="F15" s="60">
        <v>358918409.02999997</v>
      </c>
      <c r="G15" s="60">
        <v>399357877.19999999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13195543.560000001</v>
      </c>
      <c r="C21" s="61">
        <f t="shared" ref="C21:G21" si="1">SUM(C22:C26)</f>
        <v>77401491.849999994</v>
      </c>
      <c r="D21" s="61">
        <f t="shared" si="1"/>
        <v>62522751.490000002</v>
      </c>
      <c r="E21" s="61">
        <f t="shared" si="1"/>
        <v>83357438.459999993</v>
      </c>
      <c r="F21" s="61">
        <f t="shared" si="1"/>
        <v>85688641.209999993</v>
      </c>
      <c r="G21" s="61">
        <f t="shared" si="1"/>
        <v>93844577.700000003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13195543.560000001</v>
      </c>
      <c r="C26" s="60">
        <v>77401491.849999994</v>
      </c>
      <c r="D26" s="60">
        <v>62522751.490000002</v>
      </c>
      <c r="E26" s="60">
        <v>83357438.459999993</v>
      </c>
      <c r="F26" s="60">
        <v>85688641.209999993</v>
      </c>
      <c r="G26" s="60">
        <v>93844577.700000003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273299104.49000001</v>
      </c>
      <c r="C31" s="61">
        <f t="shared" ref="C31:G31" si="3">C7+C21+C28</f>
        <v>360608780.87</v>
      </c>
      <c r="D31" s="61">
        <f t="shared" si="3"/>
        <v>394500638.69000006</v>
      </c>
      <c r="E31" s="61">
        <f t="shared" si="3"/>
        <v>457175331.55000001</v>
      </c>
      <c r="F31" s="61">
        <f t="shared" si="3"/>
        <v>496264879.54999995</v>
      </c>
      <c r="G31" s="61">
        <f t="shared" si="3"/>
        <v>503702454.89999998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6" t="s">
        <v>3284</v>
      </c>
      <c r="B39" s="186"/>
      <c r="C39" s="186"/>
      <c r="D39" s="186"/>
      <c r="E39" s="186"/>
      <c r="F39" s="186"/>
      <c r="G39" s="186"/>
    </row>
    <row r="40" spans="1:7" ht="15" customHeight="1" x14ac:dyDescent="0.25">
      <c r="A40" s="186" t="s">
        <v>3285</v>
      </c>
      <c r="B40" s="186"/>
      <c r="C40" s="186"/>
      <c r="D40" s="186"/>
      <c r="E40" s="186"/>
      <c r="F40" s="186"/>
      <c r="G40" s="186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260103560.93000001</v>
      </c>
      <c r="Q2" s="18">
        <f>'Formato 7 c)'!C7</f>
        <v>283207289.01999998</v>
      </c>
      <c r="R2" s="18">
        <f>'Formato 7 c)'!D7</f>
        <v>331977887.20000005</v>
      </c>
      <c r="S2" s="18">
        <f>'Formato 7 c)'!E7</f>
        <v>373817893.09000003</v>
      </c>
      <c r="T2" s="18">
        <f>'Formato 7 c)'!F7</f>
        <v>410576238.33999997</v>
      </c>
      <c r="U2" s="18">
        <f>'Formato 7 c)'!G7</f>
        <v>409857877.19999999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1907916.07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214837.25</v>
      </c>
      <c r="Q8" s="18">
        <f>'Formato 7 c)'!C13</f>
        <v>123373.67</v>
      </c>
      <c r="R8" s="18">
        <f>'Formato 7 c)'!D13</f>
        <v>4355.17</v>
      </c>
      <c r="S8" s="18">
        <f>'Formato 7 c)'!E13</f>
        <v>117325</v>
      </c>
      <c r="T8" s="18">
        <f>'Formato 7 c)'!F13</f>
        <v>1338896.3400000001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91348047.310000002</v>
      </c>
      <c r="Q9" s="18">
        <f>'Formato 7 c)'!C14</f>
        <v>87095031.349999994</v>
      </c>
      <c r="R9" s="18">
        <f>'Formato 7 c)'!D14</f>
        <v>115679765.76000001</v>
      </c>
      <c r="S9" s="18">
        <f>'Formato 7 c)'!E14</f>
        <v>157284045.71000001</v>
      </c>
      <c r="T9" s="18">
        <f>'Formato 7 c)'!F14</f>
        <v>48411016.899999999</v>
      </c>
      <c r="U9" s="18">
        <f>'Formato 7 c)'!G14</f>
        <v>10500000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168540676.37</v>
      </c>
      <c r="Q10" s="18">
        <f>'Formato 7 c)'!C15</f>
        <v>195988884</v>
      </c>
      <c r="R10" s="18">
        <f>'Formato 7 c)'!D15</f>
        <v>216293766.27000001</v>
      </c>
      <c r="S10" s="18">
        <f>'Formato 7 c)'!E15</f>
        <v>216416522.38</v>
      </c>
      <c r="T10" s="18">
        <f>'Formato 7 c)'!F15</f>
        <v>358918409.02999997</v>
      </c>
      <c r="U10" s="18">
        <f>'Formato 7 c)'!G15</f>
        <v>399357877.19999999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13195543.560000001</v>
      </c>
      <c r="Q15" s="18">
        <f>'Formato 7 c)'!C21</f>
        <v>77401491.849999994</v>
      </c>
      <c r="R15" s="18">
        <f>'Formato 7 c)'!D21</f>
        <v>62522751.490000002</v>
      </c>
      <c r="S15" s="18">
        <f>'Formato 7 c)'!E21</f>
        <v>83357438.459999993</v>
      </c>
      <c r="T15" s="18">
        <f>'Formato 7 c)'!F21</f>
        <v>85688641.209999993</v>
      </c>
      <c r="U15" s="18">
        <f>'Formato 7 c)'!G21</f>
        <v>93844577.700000003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13195543.560000001</v>
      </c>
      <c r="Q20" s="18">
        <f>'Formato 7 c)'!C26</f>
        <v>77401491.849999994</v>
      </c>
      <c r="R20" s="18">
        <f>'Formato 7 c)'!D26</f>
        <v>62522751.490000002</v>
      </c>
      <c r="S20" s="18">
        <f>'Formato 7 c)'!E26</f>
        <v>83357438.459999993</v>
      </c>
      <c r="T20" s="18">
        <f>'Formato 7 c)'!F26</f>
        <v>85688641.209999993</v>
      </c>
      <c r="U20" s="18">
        <f>'Formato 7 c)'!G26</f>
        <v>93844577.700000003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273299104.49000001</v>
      </c>
      <c r="Q23" s="18">
        <f>'Formato 7 c)'!C31</f>
        <v>360608780.87</v>
      </c>
      <c r="R23" s="18">
        <f>'Formato 7 c)'!D31</f>
        <v>394500638.69000006</v>
      </c>
      <c r="S23" s="18">
        <f>'Formato 7 c)'!E31</f>
        <v>457175331.55000001</v>
      </c>
      <c r="T23" s="18">
        <f>'Formato 7 c)'!F31</f>
        <v>496264879.54999995</v>
      </c>
      <c r="U23" s="18">
        <f>'Formato 7 c)'!G31</f>
        <v>503702454.89999998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D16" sqref="D16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2" t="s">
        <v>482</v>
      </c>
      <c r="B1" s="172"/>
      <c r="C1" s="172"/>
      <c r="D1" s="172"/>
      <c r="E1" s="172"/>
      <c r="F1" s="172"/>
      <c r="G1" s="172"/>
    </row>
    <row r="2" spans="1:7" x14ac:dyDescent="0.25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x14ac:dyDescent="0.25">
      <c r="A3" s="157" t="s">
        <v>483</v>
      </c>
      <c r="B3" s="158"/>
      <c r="C3" s="158"/>
      <c r="D3" s="158"/>
      <c r="E3" s="158"/>
      <c r="F3" s="158"/>
      <c r="G3" s="159"/>
    </row>
    <row r="4" spans="1:7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91" t="s">
        <v>3134</v>
      </c>
      <c r="B5" s="187" t="str">
        <f>ANIO5R</f>
        <v>2013 ¹ (c)</v>
      </c>
      <c r="C5" s="187" t="str">
        <f>ANIO4R</f>
        <v>2014 ¹ (c)</v>
      </c>
      <c r="D5" s="187" t="str">
        <f>ANIO3R</f>
        <v>2015 ¹ (c)</v>
      </c>
      <c r="E5" s="187" t="str">
        <f>ANIO2R</f>
        <v>2016 ¹ (c)</v>
      </c>
      <c r="F5" s="187" t="str">
        <f>ANIO1R</f>
        <v>2017 ¹ (c)</v>
      </c>
      <c r="G5" s="51">
        <f>ANIO_INFORME</f>
        <v>2018</v>
      </c>
    </row>
    <row r="6" spans="1:7" ht="32.1" customHeight="1" x14ac:dyDescent="0.25">
      <c r="A6" s="192"/>
      <c r="B6" s="188"/>
      <c r="C6" s="188"/>
      <c r="D6" s="188"/>
      <c r="E6" s="188"/>
      <c r="F6" s="188"/>
      <c r="G6" s="88" t="s">
        <v>3287</v>
      </c>
    </row>
    <row r="7" spans="1:7" x14ac:dyDescent="0.25">
      <c r="A7" s="52" t="s">
        <v>484</v>
      </c>
      <c r="B7" s="59">
        <f>SUM(B8:B16)</f>
        <v>223380268.68878275</v>
      </c>
      <c r="C7" s="59">
        <f t="shared" ref="C7:G7" si="0">SUM(C8:C16)</f>
        <v>256414382.78964004</v>
      </c>
      <c r="D7" s="59">
        <f t="shared" si="0"/>
        <v>240160814.0686</v>
      </c>
      <c r="E7" s="59">
        <f t="shared" si="0"/>
        <v>249991140.69999999</v>
      </c>
      <c r="F7" s="59">
        <f t="shared" si="0"/>
        <v>281480929.83240008</v>
      </c>
      <c r="G7" s="59">
        <f t="shared" si="0"/>
        <v>326159206.70920002</v>
      </c>
    </row>
    <row r="8" spans="1:7" x14ac:dyDescent="0.25">
      <c r="A8" s="53" t="s">
        <v>446</v>
      </c>
      <c r="B8" s="60">
        <v>86546280.89000003</v>
      </c>
      <c r="C8" s="60">
        <v>96682727.26000002</v>
      </c>
      <c r="D8" s="60">
        <v>104681954.33</v>
      </c>
      <c r="E8" s="60">
        <v>105325635.65000001</v>
      </c>
      <c r="F8" s="60">
        <v>105209381.61000007</v>
      </c>
      <c r="G8" s="60">
        <v>109213604.25999998</v>
      </c>
    </row>
    <row r="9" spans="1:7" x14ac:dyDescent="0.25">
      <c r="A9" s="53" t="s">
        <v>447</v>
      </c>
      <c r="B9" s="60">
        <v>22432052.643342692</v>
      </c>
      <c r="C9" s="60">
        <v>24075558.54916</v>
      </c>
      <c r="D9" s="60">
        <v>21930754.024999999</v>
      </c>
      <c r="E9" s="60">
        <v>27487458.210000001</v>
      </c>
      <c r="F9" s="60">
        <v>40457820.490000002</v>
      </c>
      <c r="G9" s="60">
        <v>52230376.329200022</v>
      </c>
    </row>
    <row r="10" spans="1:7" x14ac:dyDescent="0.25">
      <c r="A10" s="53" t="s">
        <v>448</v>
      </c>
      <c r="B10" s="60">
        <v>97186106.985760003</v>
      </c>
      <c r="C10" s="60">
        <v>110376221.31248002</v>
      </c>
      <c r="D10" s="60">
        <v>95433730.393600002</v>
      </c>
      <c r="E10" s="60">
        <v>101644850.63</v>
      </c>
      <c r="F10" s="60">
        <v>119622372.21240003</v>
      </c>
      <c r="G10" s="60">
        <v>138567278.08000004</v>
      </c>
    </row>
    <row r="11" spans="1:7" x14ac:dyDescent="0.25">
      <c r="A11" s="53" t="s">
        <v>449</v>
      </c>
      <c r="B11" s="60">
        <v>266939.36</v>
      </c>
      <c r="C11" s="60">
        <v>352772.25</v>
      </c>
      <c r="D11" s="60">
        <v>683412.22</v>
      </c>
      <c r="E11" s="60">
        <v>548456.6</v>
      </c>
      <c r="F11" s="60">
        <v>789898.60999999987</v>
      </c>
      <c r="G11" s="60">
        <v>1082210.2</v>
      </c>
    </row>
    <row r="12" spans="1:7" x14ac:dyDescent="0.25">
      <c r="A12" s="53" t="s">
        <v>450</v>
      </c>
      <c r="B12" s="60">
        <v>11269725.099679999</v>
      </c>
      <c r="C12" s="60">
        <v>12445721.347999997</v>
      </c>
      <c r="D12" s="60">
        <v>14786128.650000006</v>
      </c>
      <c r="E12" s="60">
        <v>14984739.609999999</v>
      </c>
      <c r="F12" s="60">
        <v>15384935.019999998</v>
      </c>
      <c r="G12" s="60">
        <v>23203027.810000002</v>
      </c>
    </row>
    <row r="13" spans="1:7" x14ac:dyDescent="0.25">
      <c r="A13" s="53" t="s">
        <v>451</v>
      </c>
      <c r="B13" s="60"/>
      <c r="C13" s="60"/>
      <c r="D13" s="60">
        <v>0</v>
      </c>
      <c r="E13" s="60">
        <v>0</v>
      </c>
      <c r="F13" s="60"/>
      <c r="G13" s="60"/>
    </row>
    <row r="14" spans="1:7" x14ac:dyDescent="0.25">
      <c r="A14" s="53" t="s">
        <v>452</v>
      </c>
      <c r="B14" s="60"/>
      <c r="C14" s="60"/>
      <c r="D14" s="60"/>
      <c r="E14" s="60">
        <v>0</v>
      </c>
      <c r="F14" s="60"/>
      <c r="G14" s="60"/>
    </row>
    <row r="15" spans="1:7" x14ac:dyDescent="0.25">
      <c r="A15" s="53" t="s">
        <v>453</v>
      </c>
      <c r="B15" s="60">
        <v>656194.84</v>
      </c>
      <c r="C15" s="60">
        <v>7745229.3599999994</v>
      </c>
      <c r="D15" s="60">
        <v>0</v>
      </c>
      <c r="E15" s="60">
        <v>0</v>
      </c>
      <c r="F15" s="60">
        <v>16521.89</v>
      </c>
      <c r="G15" s="60">
        <v>1862710.03</v>
      </c>
    </row>
    <row r="16" spans="1:7" x14ac:dyDescent="0.25">
      <c r="A16" s="53" t="s">
        <v>454</v>
      </c>
      <c r="B16" s="60">
        <v>5022968.87</v>
      </c>
      <c r="C16" s="60">
        <v>4736152.71</v>
      </c>
      <c r="D16" s="60">
        <v>2644834.4500000002</v>
      </c>
      <c r="E16" s="60">
        <v>0</v>
      </c>
      <c r="F16" s="60"/>
      <c r="G16" s="60"/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9540493.3809999991</v>
      </c>
      <c r="C18" s="61">
        <f t="shared" ref="C18:G18" si="1">SUM(C19:C27)</f>
        <v>31794293.52</v>
      </c>
      <c r="D18" s="61">
        <f t="shared" si="1"/>
        <v>44623231.243999995</v>
      </c>
      <c r="E18" s="61">
        <f t="shared" si="1"/>
        <v>73582559.870000005</v>
      </c>
      <c r="F18" s="61">
        <f t="shared" si="1"/>
        <v>75155721.780000001</v>
      </c>
      <c r="G18" s="61">
        <f t="shared" si="1"/>
        <v>138826523</v>
      </c>
    </row>
    <row r="19" spans="1:7" x14ac:dyDescent="0.25">
      <c r="A19" s="53" t="s">
        <v>446</v>
      </c>
      <c r="B19" s="60"/>
      <c r="C19" s="60"/>
      <c r="D19" s="60"/>
      <c r="E19" s="60"/>
      <c r="F19" s="60"/>
      <c r="G19" s="60"/>
    </row>
    <row r="20" spans="1:7" x14ac:dyDescent="0.25">
      <c r="A20" s="53" t="s">
        <v>447</v>
      </c>
      <c r="B20" s="60"/>
      <c r="C20" s="60"/>
      <c r="D20" s="60"/>
      <c r="E20" s="60"/>
      <c r="F20" s="60"/>
      <c r="G20" s="60"/>
    </row>
    <row r="21" spans="1:7" x14ac:dyDescent="0.25">
      <c r="A21" s="53" t="s">
        <v>448</v>
      </c>
      <c r="B21" s="60"/>
      <c r="C21" s="60"/>
      <c r="D21" s="60"/>
      <c r="E21" s="60"/>
      <c r="F21" s="60"/>
      <c r="G21" s="60"/>
    </row>
    <row r="22" spans="1:7" x14ac:dyDescent="0.25">
      <c r="A22" s="53" t="s">
        <v>449</v>
      </c>
      <c r="B22" s="60"/>
      <c r="C22" s="60"/>
      <c r="D22" s="60"/>
      <c r="E22" s="60"/>
      <c r="F22" s="60"/>
      <c r="G22" s="60"/>
    </row>
    <row r="23" spans="1:7" x14ac:dyDescent="0.25">
      <c r="A23" s="53" t="s">
        <v>450</v>
      </c>
      <c r="B23" s="60"/>
      <c r="C23" s="60"/>
      <c r="D23" s="60"/>
      <c r="E23" s="60"/>
      <c r="F23" s="60"/>
      <c r="G23" s="60"/>
    </row>
    <row r="24" spans="1:7" x14ac:dyDescent="0.25">
      <c r="A24" s="53" t="s">
        <v>451</v>
      </c>
      <c r="B24" s="60">
        <v>9540493.3809999991</v>
      </c>
      <c r="C24" s="60">
        <v>31794293.52</v>
      </c>
      <c r="D24" s="60">
        <v>44623231.243999995</v>
      </c>
      <c r="E24" s="60">
        <v>73582559.870000005</v>
      </c>
      <c r="F24" s="60">
        <v>75155721.780000001</v>
      </c>
      <c r="G24" s="60">
        <v>138826523</v>
      </c>
    </row>
    <row r="25" spans="1:7" x14ac:dyDescent="0.25">
      <c r="A25" s="53" t="s">
        <v>452</v>
      </c>
      <c r="B25" s="60"/>
      <c r="C25" s="60"/>
      <c r="D25" s="60"/>
      <c r="E25" s="60"/>
      <c r="F25" s="60"/>
      <c r="G25" s="60"/>
    </row>
    <row r="26" spans="1:7" x14ac:dyDescent="0.25">
      <c r="A26" s="53" t="s">
        <v>456</v>
      </c>
      <c r="B26" s="60"/>
      <c r="C26" s="60"/>
      <c r="D26" s="60"/>
      <c r="E26" s="60"/>
      <c r="F26" s="60"/>
      <c r="G26" s="60"/>
    </row>
    <row r="27" spans="1:7" x14ac:dyDescent="0.25">
      <c r="A27" s="53" t="s">
        <v>454</v>
      </c>
      <c r="B27" s="60"/>
      <c r="C27" s="60"/>
      <c r="D27" s="60"/>
      <c r="E27" s="60"/>
      <c r="F27" s="60"/>
      <c r="G27" s="60"/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232920762.06978276</v>
      </c>
      <c r="C29" s="60">
        <f t="shared" ref="C29:G29" si="2">C7+C18</f>
        <v>288208676.30964005</v>
      </c>
      <c r="D29" s="60">
        <f t="shared" si="2"/>
        <v>284784045.31260002</v>
      </c>
      <c r="E29" s="60">
        <f t="shared" si="2"/>
        <v>323573700.56999999</v>
      </c>
      <c r="F29" s="60">
        <f t="shared" si="2"/>
        <v>356636651.61240005</v>
      </c>
      <c r="G29" s="60">
        <f t="shared" si="2"/>
        <v>464985729.70920002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6" t="s">
        <v>3284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3285</v>
      </c>
      <c r="B33" s="186"/>
      <c r="C33" s="186"/>
      <c r="D33" s="186"/>
      <c r="E33" s="186"/>
      <c r="F33" s="186"/>
      <c r="G33" s="18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223380268.68878275</v>
      </c>
      <c r="Q2" s="18">
        <f>'Formato 7 d)'!C7</f>
        <v>256414382.78964004</v>
      </c>
      <c r="R2" s="18">
        <f>'Formato 7 d)'!D7</f>
        <v>240160814.0686</v>
      </c>
      <c r="S2" s="18">
        <f>'Formato 7 d)'!E7</f>
        <v>249991140.69999999</v>
      </c>
      <c r="T2" s="18">
        <f>'Formato 7 d)'!F7</f>
        <v>281480929.83240008</v>
      </c>
      <c r="U2" s="18">
        <f>'Formato 7 d)'!G7</f>
        <v>326159206.70920002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86546280.89000003</v>
      </c>
      <c r="Q3" s="18">
        <f>'Formato 7 d)'!C8</f>
        <v>96682727.26000002</v>
      </c>
      <c r="R3" s="18">
        <f>'Formato 7 d)'!D8</f>
        <v>104681954.33</v>
      </c>
      <c r="S3" s="18">
        <f>'Formato 7 d)'!E8</f>
        <v>105325635.65000001</v>
      </c>
      <c r="T3" s="18">
        <f>'Formato 7 d)'!F8</f>
        <v>105209381.61000007</v>
      </c>
      <c r="U3" s="18">
        <f>'Formato 7 d)'!G8</f>
        <v>109213604.25999998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22432052.643342692</v>
      </c>
      <c r="Q4" s="18">
        <f>'Formato 7 d)'!C9</f>
        <v>24075558.54916</v>
      </c>
      <c r="R4" s="18">
        <f>'Formato 7 d)'!D9</f>
        <v>21930754.024999999</v>
      </c>
      <c r="S4" s="18">
        <f>'Formato 7 d)'!E9</f>
        <v>27487458.210000001</v>
      </c>
      <c r="T4" s="18">
        <f>'Formato 7 d)'!F9</f>
        <v>40457820.490000002</v>
      </c>
      <c r="U4" s="18">
        <f>'Formato 7 d)'!G9</f>
        <v>52230376.329200022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97186106.985760003</v>
      </c>
      <c r="Q5" s="18">
        <f>'Formato 7 d)'!C10</f>
        <v>110376221.31248002</v>
      </c>
      <c r="R5" s="18">
        <f>'Formato 7 d)'!D10</f>
        <v>95433730.393600002</v>
      </c>
      <c r="S5" s="18">
        <f>'Formato 7 d)'!E10</f>
        <v>101644850.63</v>
      </c>
      <c r="T5" s="18">
        <f>'Formato 7 d)'!F10</f>
        <v>119622372.21240003</v>
      </c>
      <c r="U5" s="18">
        <f>'Formato 7 d)'!G10</f>
        <v>138567278.08000004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266939.36</v>
      </c>
      <c r="Q6" s="18">
        <f>'Formato 7 d)'!C11</f>
        <v>352772.25</v>
      </c>
      <c r="R6" s="18">
        <f>'Formato 7 d)'!D11</f>
        <v>683412.22</v>
      </c>
      <c r="S6" s="18">
        <f>'Formato 7 d)'!E11</f>
        <v>548456.6</v>
      </c>
      <c r="T6" s="18">
        <f>'Formato 7 d)'!F11</f>
        <v>789898.60999999987</v>
      </c>
      <c r="U6" s="18">
        <f>'Formato 7 d)'!G11</f>
        <v>1082210.2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11269725.099679999</v>
      </c>
      <c r="Q7" s="18">
        <f>'Formato 7 d)'!C12</f>
        <v>12445721.347999997</v>
      </c>
      <c r="R7" s="18">
        <f>'Formato 7 d)'!D12</f>
        <v>14786128.650000006</v>
      </c>
      <c r="S7" s="18">
        <f>'Formato 7 d)'!E12</f>
        <v>14984739.609999999</v>
      </c>
      <c r="T7" s="18">
        <f>'Formato 7 d)'!F12</f>
        <v>15384935.019999998</v>
      </c>
      <c r="U7" s="18">
        <f>'Formato 7 d)'!G12</f>
        <v>23203027.810000002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656194.84</v>
      </c>
      <c r="Q10" s="18">
        <f>'Formato 7 d)'!C15</f>
        <v>7745229.3599999994</v>
      </c>
      <c r="R10" s="18">
        <f>'Formato 7 d)'!D15</f>
        <v>0</v>
      </c>
      <c r="S10" s="18">
        <f>'Formato 7 d)'!E15</f>
        <v>0</v>
      </c>
      <c r="T10" s="18">
        <f>'Formato 7 d)'!F15</f>
        <v>16521.89</v>
      </c>
      <c r="U10" s="18">
        <f>'Formato 7 d)'!G15</f>
        <v>1862710.03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5022968.87</v>
      </c>
      <c r="Q11" s="18">
        <f>'Formato 7 d)'!C16</f>
        <v>4736152.71</v>
      </c>
      <c r="R11" s="18">
        <f>'Formato 7 d)'!D16</f>
        <v>2644834.4500000002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9540493.3809999991</v>
      </c>
      <c r="Q12" s="18">
        <f>'Formato 7 d)'!C18</f>
        <v>31794293.52</v>
      </c>
      <c r="R12" s="18">
        <f>'Formato 7 d)'!D18</f>
        <v>44623231.243999995</v>
      </c>
      <c r="S12" s="18">
        <f>'Formato 7 d)'!E18</f>
        <v>73582559.870000005</v>
      </c>
      <c r="T12" s="18">
        <f>'Formato 7 d)'!F18</f>
        <v>75155721.780000001</v>
      </c>
      <c r="U12" s="18">
        <f>'Formato 7 d)'!G18</f>
        <v>138826523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9540493.3809999991</v>
      </c>
      <c r="Q18" s="18">
        <f>'Formato 7 d)'!C24</f>
        <v>31794293.52</v>
      </c>
      <c r="R18" s="18">
        <f>'Formato 7 d)'!D24</f>
        <v>44623231.243999995</v>
      </c>
      <c r="S18" s="18">
        <f>'Formato 7 d)'!E24</f>
        <v>73582559.870000005</v>
      </c>
      <c r="T18" s="18">
        <f>'Formato 7 d)'!F24</f>
        <v>75155721.780000001</v>
      </c>
      <c r="U18" s="18">
        <f>'Formato 7 d)'!G24</f>
        <v>138826523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232920762.06978276</v>
      </c>
      <c r="Q22" s="18">
        <f>'Formato 7 d)'!C29</f>
        <v>288208676.30964005</v>
      </c>
      <c r="R22" s="18">
        <f>'Formato 7 d)'!D29</f>
        <v>284784045.31260002</v>
      </c>
      <c r="S22" s="18">
        <f>'Formato 7 d)'!E29</f>
        <v>323573700.56999999</v>
      </c>
      <c r="T22" s="18">
        <f>'Formato 7 d)'!F29</f>
        <v>356636651.61240005</v>
      </c>
      <c r="U22" s="18">
        <f>'Formato 7 d)'!G29</f>
        <v>464985729.70920002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topLeftCell="A22" zoomScale="90" zoomScaleNormal="90" zoomScalePageLayoutView="90" workbookViewId="0">
      <selection activeCell="B20" sqref="B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6" t="s">
        <v>487</v>
      </c>
      <c r="B1" s="166"/>
      <c r="C1" s="166"/>
      <c r="D1" s="166"/>
      <c r="E1" s="166"/>
      <c r="F1" s="166"/>
      <c r="G1" s="111"/>
    </row>
    <row r="2" spans="1:7" x14ac:dyDescent="0.25">
      <c r="A2" s="154" t="str">
        <f>ENTE_PUBLICO</f>
        <v>JUNTA DE AGUA POTABLE DRENAJE POTABLE DRENAJE ALCANTARILLADO Y SANEAMIENTO DEL MUNICIPIO DE IRAPUATO GTO, Gobierno del Estado de Guanajuato</v>
      </c>
      <c r="B2" s="155"/>
      <c r="C2" s="155"/>
      <c r="D2" s="155"/>
      <c r="E2" s="155"/>
      <c r="F2" s="156"/>
    </row>
    <row r="3" spans="1:7" x14ac:dyDescent="0.25">
      <c r="A3" s="163" t="s">
        <v>488</v>
      </c>
      <c r="B3" s="164"/>
      <c r="C3" s="164"/>
      <c r="D3" s="164"/>
      <c r="E3" s="164"/>
      <c r="F3" s="165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B55" zoomScale="90" zoomScaleNormal="90" zoomScalePageLayoutView="90" workbookViewId="0">
      <selection activeCell="F79" sqref="F7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6" t="s">
        <v>537</v>
      </c>
      <c r="B1" s="166"/>
      <c r="C1" s="166"/>
      <c r="D1" s="166"/>
      <c r="E1" s="166"/>
      <c r="F1" s="166"/>
    </row>
    <row r="2" spans="1:6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6"/>
    </row>
    <row r="3" spans="1:6" x14ac:dyDescent="0.25">
      <c r="A3" s="157" t="s">
        <v>117</v>
      </c>
      <c r="B3" s="158"/>
      <c r="C3" s="158"/>
      <c r="D3" s="158"/>
      <c r="E3" s="158"/>
      <c r="F3" s="159"/>
    </row>
    <row r="4" spans="1:6" x14ac:dyDescent="0.25">
      <c r="A4" s="160" t="str">
        <f>PERIODO_INFORME</f>
        <v>Al 31 de diciembre de 2017 y al 31 de diciembre de 2018 (b)</v>
      </c>
      <c r="B4" s="161"/>
      <c r="C4" s="161"/>
      <c r="D4" s="161"/>
      <c r="E4" s="161"/>
      <c r="F4" s="162"/>
    </row>
    <row r="5" spans="1:6" x14ac:dyDescent="0.25">
      <c r="A5" s="163" t="s">
        <v>118</v>
      </c>
      <c r="B5" s="164"/>
      <c r="C5" s="164"/>
      <c r="D5" s="164"/>
      <c r="E5" s="164"/>
      <c r="F5" s="165"/>
    </row>
    <row r="6" spans="1:6" s="3" customFormat="1" ht="30" x14ac:dyDescent="0.25">
      <c r="A6" s="133" t="s">
        <v>3276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411870735.46999997</v>
      </c>
      <c r="C9" s="60">
        <f>SUM(C10:C16)</f>
        <v>431431708.05999994</v>
      </c>
      <c r="D9" s="100" t="s">
        <v>54</v>
      </c>
      <c r="E9" s="60">
        <f>SUM(E10:E18)</f>
        <v>29775981.100000001</v>
      </c>
      <c r="F9" s="60">
        <f>SUM(F10:F18)</f>
        <v>63276880.93</v>
      </c>
    </row>
    <row r="10" spans="1:6" x14ac:dyDescent="0.25">
      <c r="A10" s="96" t="s">
        <v>4</v>
      </c>
      <c r="B10" s="60">
        <v>559499.73</v>
      </c>
      <c r="C10" s="60">
        <v>723499.73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58037166.049999997</v>
      </c>
      <c r="C11" s="60">
        <v>82614834.299999997</v>
      </c>
      <c r="D11" s="101" t="s">
        <v>56</v>
      </c>
      <c r="E11" s="60">
        <v>8231786.8700000001</v>
      </c>
      <c r="F11" s="60">
        <v>11452930.880000001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17595994.84</v>
      </c>
      <c r="F12" s="60">
        <v>40706625.960000001</v>
      </c>
    </row>
    <row r="13" spans="1:6" x14ac:dyDescent="0.25">
      <c r="A13" s="96" t="s">
        <v>7</v>
      </c>
      <c r="B13" s="60">
        <v>353274069.69</v>
      </c>
      <c r="C13" s="60">
        <v>348093374.02999997</v>
      </c>
      <c r="D13" s="101" t="s">
        <v>58</v>
      </c>
      <c r="E13" s="60">
        <v>2462</v>
      </c>
      <c r="F13" s="60">
        <v>2462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2524645.2799999998</v>
      </c>
      <c r="F16" s="60">
        <v>2155463.48</v>
      </c>
    </row>
    <row r="17" spans="1:6" x14ac:dyDescent="0.25">
      <c r="A17" s="95" t="s">
        <v>11</v>
      </c>
      <c r="B17" s="60">
        <f>SUM(B18:B24)</f>
        <v>43745248.780000001</v>
      </c>
      <c r="C17" s="60">
        <f>SUM(C18:C24)</f>
        <v>38491640.020000003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1421092.11</v>
      </c>
      <c r="F18" s="60">
        <v>8959398.6099999994</v>
      </c>
    </row>
    <row r="19" spans="1:6" x14ac:dyDescent="0.25">
      <c r="A19" s="97" t="s">
        <v>13</v>
      </c>
      <c r="B19" s="60">
        <v>21578195.199999999</v>
      </c>
      <c r="C19" s="60">
        <v>6882861.3600000003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1597782</v>
      </c>
      <c r="C20" s="60">
        <v>11120.04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20569271.579999998</v>
      </c>
      <c r="C24" s="60">
        <v>31597658.620000001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11180861.27</v>
      </c>
      <c r="C25" s="60">
        <f>SUM(C26:C30)</f>
        <v>46620527.619999997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16740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2277551.62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2277551.62</v>
      </c>
      <c r="F28" s="60">
        <v>0</v>
      </c>
    </row>
    <row r="29" spans="1:6" x14ac:dyDescent="0.25">
      <c r="A29" s="97" t="s">
        <v>23</v>
      </c>
      <c r="B29" s="60">
        <v>11164121.27</v>
      </c>
      <c r="C29" s="60">
        <v>46620527.619999997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13376659.949999999</v>
      </c>
      <c r="C37" s="60">
        <v>26664586.949999999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480173505.46999997</v>
      </c>
      <c r="C47" s="61">
        <f>C9+C17+C25+C31+C38+C41+C37</f>
        <v>543208462.64999998</v>
      </c>
      <c r="D47" s="99" t="s">
        <v>91</v>
      </c>
      <c r="E47" s="61">
        <f>E9+E19+E23+E26+E27+E31+E38+E42</f>
        <v>32053532.720000003</v>
      </c>
      <c r="F47" s="61">
        <f>F9+F19+F23+F26+F27+F31+F38+F42</f>
        <v>63276880.93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1759333160.1800001</v>
      </c>
      <c r="C52" s="60">
        <v>1455285259.95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176554606.22</v>
      </c>
      <c r="C53" s="60">
        <v>156789673.06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2631963.11</v>
      </c>
      <c r="C54" s="60">
        <v>2481652.8199999998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-577572837.77999997</v>
      </c>
      <c r="C55" s="60">
        <v>-520294010.94999999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1656907.75</v>
      </c>
      <c r="C56" s="60">
        <v>853072.4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32053532.720000003</v>
      </c>
      <c r="F59" s="61">
        <f>F47+F57</f>
        <v>63276880.93</v>
      </c>
    </row>
    <row r="60" spans="1:6" x14ac:dyDescent="0.25">
      <c r="A60" s="55" t="s">
        <v>50</v>
      </c>
      <c r="B60" s="61">
        <f>SUM(B50:B58)</f>
        <v>1362603799.48</v>
      </c>
      <c r="C60" s="61">
        <f>SUM(C50:C58)</f>
        <v>1095115647.28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1842777304.95</v>
      </c>
      <c r="C62" s="61">
        <f>SUM(C47+C60)</f>
        <v>1638324109.9299998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398304509.64000005</v>
      </c>
      <c r="F63" s="77">
        <f>SUM(F64:F66)</f>
        <v>389573472.65000004</v>
      </c>
    </row>
    <row r="64" spans="1:6" x14ac:dyDescent="0.25">
      <c r="A64" s="54"/>
      <c r="B64" s="54"/>
      <c r="C64" s="54"/>
      <c r="D64" s="103" t="s">
        <v>103</v>
      </c>
      <c r="E64" s="77">
        <v>4610300.5999999996</v>
      </c>
      <c r="F64" s="77">
        <v>4610300.5999999996</v>
      </c>
    </row>
    <row r="65" spans="1:6" x14ac:dyDescent="0.25">
      <c r="A65" s="54"/>
      <c r="B65" s="54"/>
      <c r="C65" s="54"/>
      <c r="D65" s="41" t="s">
        <v>104</v>
      </c>
      <c r="E65" s="77">
        <v>10676834.380000001</v>
      </c>
      <c r="F65" s="77">
        <v>1945797.39</v>
      </c>
    </row>
    <row r="66" spans="1:6" x14ac:dyDescent="0.25">
      <c r="A66" s="54"/>
      <c r="B66" s="54"/>
      <c r="C66" s="54"/>
      <c r="D66" s="103" t="s">
        <v>105</v>
      </c>
      <c r="E66" s="77">
        <v>383017374.66000003</v>
      </c>
      <c r="F66" s="77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1412419262.5899999</v>
      </c>
      <c r="F68" s="77">
        <f>SUM(F69:F73)</f>
        <v>1185473756.3499999</v>
      </c>
    </row>
    <row r="69" spans="1:6" x14ac:dyDescent="0.25">
      <c r="A69" s="12"/>
      <c r="B69" s="54"/>
      <c r="C69" s="54"/>
      <c r="D69" s="103" t="s">
        <v>107</v>
      </c>
      <c r="E69" s="77">
        <v>225633456.27000001</v>
      </c>
      <c r="F69" s="77">
        <v>235095264.19</v>
      </c>
    </row>
    <row r="70" spans="1:6" x14ac:dyDescent="0.25">
      <c r="A70" s="12"/>
      <c r="B70" s="54"/>
      <c r="C70" s="54"/>
      <c r="D70" s="103" t="s">
        <v>108</v>
      </c>
      <c r="E70" s="77">
        <v>1179471578.45</v>
      </c>
      <c r="F70" s="77">
        <v>945183169.97000003</v>
      </c>
    </row>
    <row r="71" spans="1:6" x14ac:dyDescent="0.25">
      <c r="A71" s="12"/>
      <c r="B71" s="54"/>
      <c r="C71" s="54"/>
      <c r="D71" s="103" t="s">
        <v>109</v>
      </c>
      <c r="E71" s="77">
        <v>5064933.6100000003</v>
      </c>
      <c r="F71" s="77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2249294.2599999998</v>
      </c>
      <c r="F73" s="77">
        <v>130388.58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1810723772.23</v>
      </c>
      <c r="F79" s="61">
        <f>F63+F68+F75</f>
        <v>1575047229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1842777304.95</v>
      </c>
      <c r="F81" s="61">
        <f>F59+F79</f>
        <v>1638324109.9300001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411870735.46999997</v>
      </c>
      <c r="Q4" s="18">
        <f>'Formato 1'!C9</f>
        <v>431431708.05999994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559499.73</v>
      </c>
      <c r="Q5" s="18">
        <f>'Formato 1'!C10</f>
        <v>723499.73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58037166.049999997</v>
      </c>
      <c r="Q6" s="18">
        <f>'Formato 1'!C11</f>
        <v>82614834.299999997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353274069.69</v>
      </c>
      <c r="Q8" s="18">
        <f>'Formato 1'!C13</f>
        <v>348093374.02999997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43745248.780000001</v>
      </c>
      <c r="Q12" s="18">
        <f>'Formato 1'!C17</f>
        <v>38491640.020000003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21578195.199999999</v>
      </c>
      <c r="Q14" s="18">
        <f>'Formato 1'!C19</f>
        <v>6882861.3600000003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1597782</v>
      </c>
      <c r="Q15" s="18">
        <f>'Formato 1'!C20</f>
        <v>11120.04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20569271.579999998</v>
      </c>
      <c r="Q19" s="18">
        <f>'Formato 1'!C24</f>
        <v>31597658.620000001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11180861.27</v>
      </c>
      <c r="Q20" s="18">
        <f>'Formato 1'!C25</f>
        <v>46620527.619999997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16740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11164121.27</v>
      </c>
      <c r="Q24" s="18">
        <f>'Formato 1'!C29</f>
        <v>46620527.619999997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13376659.949999999</v>
      </c>
      <c r="Q32" s="18">
        <f>'Formato 1'!C37</f>
        <v>26664586.949999999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13376659.949999999</v>
      </c>
      <c r="Q33" s="18">
        <f>'Formato 1'!C37</f>
        <v>26664586.949999999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480173505.46999997</v>
      </c>
      <c r="Q42" s="18">
        <f>'Formato 1'!C47</f>
        <v>543208462.64999998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1759333160.1800001</v>
      </c>
      <c r="Q46">
        <f>'Formato 1'!C52</f>
        <v>1455285259.95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176554606.22</v>
      </c>
      <c r="Q47">
        <f>'Formato 1'!C53</f>
        <v>156789673.06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2631963.11</v>
      </c>
      <c r="Q48">
        <f>'Formato 1'!C54</f>
        <v>2481652.8199999998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-577572837.77999997</v>
      </c>
      <c r="Q49">
        <f>'Formato 1'!C55</f>
        <v>-520294010.94999999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1656907.75</v>
      </c>
      <c r="Q50">
        <f>'Formato 1'!C56</f>
        <v>853072.4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1362603799.48</v>
      </c>
      <c r="Q53">
        <f>'Formato 1'!C60</f>
        <v>1095115647.28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1842777304.95</v>
      </c>
      <c r="Q54">
        <f>'Formato 1'!C62</f>
        <v>1638324109.9299998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29775981.100000001</v>
      </c>
      <c r="Q57">
        <f>'Formato 1'!F9</f>
        <v>63276880.93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8231786.8700000001</v>
      </c>
      <c r="Q59">
        <f>'Formato 1'!F11</f>
        <v>11452930.880000001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17595994.84</v>
      </c>
      <c r="Q60">
        <f>'Formato 1'!F12</f>
        <v>40706625.960000001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2462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2524645.2799999998</v>
      </c>
      <c r="Q64">
        <f>'Formato 1'!F16</f>
        <v>2155463.48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1421092.11</v>
      </c>
      <c r="Q66">
        <f>'Formato 1'!F18</f>
        <v>8959398.6099999994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2277551.62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2277551.62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32053532.720000003</v>
      </c>
      <c r="Q95">
        <f>'Formato 1'!F47</f>
        <v>63276880.93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32053532.720000003</v>
      </c>
      <c r="Q104">
        <f>'Formato 1'!F59</f>
        <v>63276880.93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398304509.64000005</v>
      </c>
      <c r="Q106">
        <f>'Formato 1'!F63</f>
        <v>389573472.65000004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10676834.380000001</v>
      </c>
      <c r="Q108">
        <f>'Formato 1'!F65</f>
        <v>1945797.39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1412419262.5899999</v>
      </c>
      <c r="Q110">
        <f>'Formato 1'!F68</f>
        <v>1185473756.3499999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225633456.27000001</v>
      </c>
      <c r="Q111">
        <f>'Formato 1'!F69</f>
        <v>235095264.19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1179471578.45</v>
      </c>
      <c r="Q112">
        <f>'Formato 1'!F70</f>
        <v>945183169.97000003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2249294.2599999998</v>
      </c>
      <c r="Q115">
        <f>'Formato 1'!F73</f>
        <v>130388.58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1810723772.23</v>
      </c>
      <c r="Q119">
        <f>'Formato 1'!F79</f>
        <v>1575047229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1842777304.95</v>
      </c>
      <c r="Q120">
        <f>'Formato 1'!F81</f>
        <v>1638324109.9300001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A5" sqref="A5:H5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8" t="s">
        <v>536</v>
      </c>
      <c r="B1" s="168"/>
      <c r="C1" s="168"/>
      <c r="D1" s="168"/>
      <c r="E1" s="168"/>
      <c r="F1" s="168"/>
      <c r="G1" s="168"/>
      <c r="H1" s="168"/>
    </row>
    <row r="2" spans="1:9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5"/>
      <c r="H2" s="156"/>
    </row>
    <row r="3" spans="1:9" x14ac:dyDescent="0.25">
      <c r="A3" s="157" t="s">
        <v>120</v>
      </c>
      <c r="B3" s="158"/>
      <c r="C3" s="158"/>
      <c r="D3" s="158"/>
      <c r="E3" s="158"/>
      <c r="F3" s="158"/>
      <c r="G3" s="158"/>
      <c r="H3" s="159"/>
    </row>
    <row r="4" spans="1:9" x14ac:dyDescent="0.25">
      <c r="A4" s="160" t="str">
        <f>PERIODO_INFORME</f>
        <v>Al 31 de diciembre de 2017 y al 31 de diciembre de 2018 (b)</v>
      </c>
      <c r="B4" s="161"/>
      <c r="C4" s="161"/>
      <c r="D4" s="161"/>
      <c r="E4" s="161"/>
      <c r="F4" s="161"/>
      <c r="G4" s="161"/>
      <c r="H4" s="162"/>
    </row>
    <row r="5" spans="1:9" x14ac:dyDescent="0.25">
      <c r="A5" s="163" t="s">
        <v>118</v>
      </c>
      <c r="B5" s="164"/>
      <c r="C5" s="164"/>
      <c r="D5" s="164"/>
      <c r="E5" s="164"/>
      <c r="F5" s="164"/>
      <c r="G5" s="164"/>
      <c r="H5" s="165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10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f>SUM(B11:B13)</f>
        <v>0</v>
      </c>
      <c r="C10" s="60">
        <f t="shared" si="1"/>
        <v>0</v>
      </c>
      <c r="D10" s="60">
        <f t="shared" si="1"/>
        <v>0</v>
      </c>
      <c r="E10" s="60">
        <f t="shared" si="1"/>
        <v>0</v>
      </c>
      <c r="F10" s="60">
        <f t="shared" si="1"/>
        <v>0</v>
      </c>
      <c r="G10" s="60">
        <f t="shared" si="1"/>
        <v>0</v>
      </c>
      <c r="H10" s="60">
        <f t="shared" si="1"/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63276880.93</v>
      </c>
      <c r="C18" s="132"/>
      <c r="D18" s="132"/>
      <c r="E18" s="132"/>
      <c r="F18" s="61">
        <v>32053532.719999999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63276880.93</v>
      </c>
      <c r="C20" s="61">
        <f t="shared" ref="C20:H20" si="2">C8+C18</f>
        <v>0</v>
      </c>
      <c r="D20" s="61">
        <f t="shared" si="2"/>
        <v>0</v>
      </c>
      <c r="E20" s="61">
        <f t="shared" si="2"/>
        <v>0</v>
      </c>
      <c r="F20" s="61">
        <f t="shared" si="2"/>
        <v>32053532.719999999</v>
      </c>
      <c r="G20" s="61">
        <f t="shared" si="2"/>
        <v>0</v>
      </c>
      <c r="H20" s="61">
        <f t="shared" si="2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7" t="s">
        <v>3292</v>
      </c>
      <c r="B33" s="167"/>
      <c r="C33" s="167"/>
      <c r="D33" s="167"/>
      <c r="E33" s="167"/>
      <c r="F33" s="167"/>
      <c r="G33" s="167"/>
      <c r="H33" s="167"/>
    </row>
    <row r="34" spans="1:8" ht="12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2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2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2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63276880.93</v>
      </c>
      <c r="Q12" s="18"/>
      <c r="R12" s="18"/>
      <c r="S12" s="18"/>
      <c r="T12" s="18">
        <f>'Formato 2'!F18</f>
        <v>32053532.719999999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63276880.93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32053532.719999999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sqref="A1:K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6" t="s">
        <v>535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1"/>
    </row>
    <row r="2" spans="1:12" x14ac:dyDescent="0.25">
      <c r="A2" s="154" t="str">
        <f>ENTE_PUBLICO_A</f>
        <v>JUNTA DE AGUA POTABLE DRENAJE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2" x14ac:dyDescent="0.25">
      <c r="A3" s="157" t="s">
        <v>146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x14ac:dyDescent="0.25">
      <c r="A4" s="160" t="str">
        <f>TRIMESTRE</f>
        <v>Del 1 de enero al 31 de diciembre de 2018 (b)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2" x14ac:dyDescent="0.25">
      <c r="A5" s="157" t="s">
        <v>118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2018 (k)</v>
      </c>
      <c r="J6" s="131" t="str">
        <f>MONTO2</f>
        <v>Monto pagado de la inversión actualizado al 31 de diciembre de 2018 (l)</v>
      </c>
      <c r="K6" s="131" t="str">
        <f>SALDO_PENDIENTE</f>
        <v>Saldo pendiente por pagar de la inversión al 31 de diciembre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2019-01-29T22:11:49Z</dcterms:modified>
</cp:coreProperties>
</file>