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 tabRatio="972" firstSheet="3" activeTab="5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b)'!$A$128</definedName>
    <definedName name="GASTO_E_FIN">'Formato 6 b)'!$A$141</definedName>
    <definedName name="GASTO_E_FIN_01">'Formato 6 b)'!$B$141</definedName>
    <definedName name="GASTO_E_FIN_02">'Formato 6 b)'!$C$141</definedName>
    <definedName name="GASTO_E_FIN_03">'Formato 6 b)'!$D$141</definedName>
    <definedName name="GASTO_E_FIN_04">'Formato 6 b)'!$E$141</definedName>
    <definedName name="GASTO_E_FIN_05">'Formato 6 b)'!$F$141</definedName>
    <definedName name="GASTO_E_FIN_06">'Formato 6 b)'!$G$141</definedName>
    <definedName name="GASTO_E_T1">'Formato 6 b)'!$B$128</definedName>
    <definedName name="GASTO_E_T2">'Formato 6 b)'!$C$128</definedName>
    <definedName name="GASTO_E_T3">'Formato 6 b)'!$D$128</definedName>
    <definedName name="GASTO_E_T4">'Formato 6 b)'!$E$128</definedName>
    <definedName name="GASTO_E_T5">'Formato 6 b)'!$F$128</definedName>
    <definedName name="GASTO_E_T6">'Formato 6 b)'!$G$128</definedName>
    <definedName name="GASTO_NE">'Formato 6 b)'!$A$9</definedName>
    <definedName name="GASTO_NE_FIN">'Formato 6 b)'!$A$127</definedName>
    <definedName name="GASTO_NE_FIN_01">'Formato 6 b)'!$B$127</definedName>
    <definedName name="GASTO_NE_FIN_02">'Formato 6 b)'!$C$127</definedName>
    <definedName name="GASTO_NE_FIN_03">'Formato 6 b)'!$D$127</definedName>
    <definedName name="GASTO_NE_FIN_04">'Formato 6 b)'!$E$127</definedName>
    <definedName name="GASTO_NE_FIN_05">'Formato 6 b)'!$F$127</definedName>
    <definedName name="GASTO_NE_FIN_06">'Formato 6 b)'!$G$127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b)'!$B$142</definedName>
    <definedName name="TOTAL_E_T2">'Formato 6 b)'!$C$142</definedName>
    <definedName name="TOTAL_E_T3">'Formato 6 b)'!$D$142</definedName>
    <definedName name="TOTAL_E_T4">'Formato 6 b)'!$E$142</definedName>
    <definedName name="TOTAL_E_T5">'Formato 6 b)'!$F$142</definedName>
    <definedName name="TOTAL_E_T6">'Formato 6 b)'!$G$142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7" l="1"/>
  <c r="E117" i="7"/>
  <c r="G117" i="7"/>
  <c r="D116" i="7"/>
  <c r="E116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D101" i="7"/>
  <c r="E101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D71" i="7"/>
  <c r="G71" i="7"/>
  <c r="G70" i="7"/>
  <c r="G69" i="7"/>
  <c r="G68" i="7"/>
  <c r="G67" i="7"/>
  <c r="G66" i="7"/>
  <c r="G65" i="7"/>
  <c r="G64" i="7"/>
  <c r="G63" i="7"/>
  <c r="G62" i="7"/>
  <c r="G61" i="7"/>
  <c r="G60" i="7"/>
  <c r="F117" i="7"/>
  <c r="C132" i="7"/>
  <c r="C130" i="7"/>
  <c r="C131" i="7"/>
  <c r="F116" i="7"/>
  <c r="G130" i="7"/>
  <c r="G131" i="7"/>
  <c r="G132" i="7"/>
  <c r="G133" i="7"/>
  <c r="F101" i="7"/>
  <c r="B101" i="7"/>
  <c r="C101" i="7"/>
  <c r="C129" i="7"/>
  <c r="F60" i="6"/>
  <c r="F59" i="6"/>
  <c r="E60" i="6"/>
  <c r="E59" i="6"/>
  <c r="D22" i="6"/>
  <c r="C22" i="6"/>
  <c r="D54" i="6"/>
  <c r="C54" i="6"/>
  <c r="D60" i="6"/>
  <c r="D59" i="6"/>
  <c r="B60" i="6"/>
  <c r="C60" i="6"/>
  <c r="B59" i="6"/>
  <c r="C59" i="6"/>
  <c r="E54" i="6"/>
  <c r="C135" i="6"/>
  <c r="C134" i="6"/>
  <c r="F150" i="6"/>
  <c r="F146" i="6"/>
  <c r="E150" i="6"/>
  <c r="E146" i="6"/>
  <c r="D150" i="6"/>
  <c r="D146" i="6"/>
  <c r="C150" i="6"/>
  <c r="C146" i="6"/>
  <c r="B133" i="6"/>
  <c r="F10" i="8"/>
  <c r="E10" i="8"/>
  <c r="D10" i="8"/>
  <c r="C10" i="8"/>
  <c r="C21" i="8"/>
  <c r="C55" i="8"/>
  <c r="C14" i="11"/>
  <c r="D14" i="11"/>
  <c r="E14" i="11"/>
  <c r="F14" i="11"/>
  <c r="G14" i="11"/>
  <c r="C15" i="11"/>
  <c r="D15" i="11"/>
  <c r="E15" i="11"/>
  <c r="F15" i="11"/>
  <c r="G15" i="11"/>
  <c r="C13" i="11"/>
  <c r="D13" i="11"/>
  <c r="E13" i="11"/>
  <c r="F13" i="11"/>
  <c r="G13" i="11"/>
  <c r="C10" i="11"/>
  <c r="D10" i="11"/>
  <c r="E10" i="11"/>
  <c r="F10" i="11"/>
  <c r="G10" i="11"/>
  <c r="C11" i="11"/>
  <c r="D11" i="11"/>
  <c r="E11" i="11"/>
  <c r="F11" i="11"/>
  <c r="G11" i="11"/>
  <c r="C12" i="11"/>
  <c r="D12" i="11"/>
  <c r="E12" i="11"/>
  <c r="F12" i="11"/>
  <c r="G12" i="11"/>
  <c r="C9" i="11"/>
  <c r="D9" i="11"/>
  <c r="E9" i="11"/>
  <c r="F9" i="11"/>
  <c r="G9" i="11"/>
  <c r="B60" i="1"/>
  <c r="B9" i="1"/>
  <c r="B17" i="1"/>
  <c r="B25" i="1"/>
  <c r="B31" i="1"/>
  <c r="B38" i="1"/>
  <c r="B41" i="1"/>
  <c r="B47" i="1"/>
  <c r="C9" i="1"/>
  <c r="C17" i="1"/>
  <c r="C25" i="1"/>
  <c r="C31" i="1"/>
  <c r="C38" i="1"/>
  <c r="C41" i="1"/>
  <c r="C47" i="1"/>
  <c r="D62" i="5"/>
  <c r="D13" i="5"/>
  <c r="D15" i="5"/>
  <c r="D11" i="5"/>
  <c r="F35" i="5"/>
  <c r="F37" i="5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70" i="6"/>
  <c r="G62" i="6"/>
  <c r="B62" i="6"/>
  <c r="B8" i="10"/>
  <c r="C6" i="23"/>
  <c r="C7" i="23"/>
  <c r="H25" i="23"/>
  <c r="G25" i="23"/>
  <c r="E5" i="13"/>
  <c r="F25" i="23"/>
  <c r="E25" i="23"/>
  <c r="C5" i="1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11" i="8"/>
  <c r="G12" i="8"/>
  <c r="G13" i="8"/>
  <c r="G14" i="8"/>
  <c r="G15" i="8"/>
  <c r="G16" i="8"/>
  <c r="G17" i="8"/>
  <c r="G18" i="8"/>
  <c r="G10" i="8"/>
  <c r="G20" i="8"/>
  <c r="G21" i="8"/>
  <c r="G22" i="8"/>
  <c r="G19" i="8"/>
  <c r="G134" i="7"/>
  <c r="G135" i="7"/>
  <c r="G136" i="7"/>
  <c r="G137" i="7"/>
  <c r="G138" i="7"/>
  <c r="G139" i="7"/>
  <c r="G140" i="7"/>
  <c r="G129" i="7"/>
  <c r="G120" i="7"/>
  <c r="G121" i="7"/>
  <c r="G122" i="7"/>
  <c r="G123" i="7"/>
  <c r="G124" i="7"/>
  <c r="G125" i="7"/>
  <c r="G126" i="7"/>
  <c r="G59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B7" i="13"/>
  <c r="G18" i="6"/>
  <c r="G10" i="6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16" i="5"/>
  <c r="G29" i="5"/>
  <c r="G30" i="5"/>
  <c r="G31" i="5"/>
  <c r="G32" i="5"/>
  <c r="G33" i="5"/>
  <c r="G28" i="5"/>
  <c r="G34" i="5"/>
  <c r="G36" i="5"/>
  <c r="G35" i="5"/>
  <c r="G38" i="5"/>
  <c r="G39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9" i="9"/>
  <c r="R2" i="27"/>
  <c r="E9" i="9"/>
  <c r="S2" i="27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Q13" i="27"/>
  <c r="D21" i="9"/>
  <c r="R13" i="27"/>
  <c r="E24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P5" i="27"/>
  <c r="P6" i="27"/>
  <c r="P7" i="27"/>
  <c r="P8" i="27"/>
  <c r="P9" i="27"/>
  <c r="P10" i="27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9" i="8"/>
  <c r="C9" i="8"/>
  <c r="Q2" i="26"/>
  <c r="D19" i="8"/>
  <c r="D9" i="8"/>
  <c r="R2" i="26"/>
  <c r="E19" i="8"/>
  <c r="E9" i="8"/>
  <c r="S2" i="26"/>
  <c r="F19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71" i="8"/>
  <c r="C43" i="8"/>
  <c r="Q35" i="26"/>
  <c r="D44" i="8"/>
  <c r="D53" i="8"/>
  <c r="D43" i="8"/>
  <c r="R35" i="26"/>
  <c r="E44" i="8"/>
  <c r="F44" i="8"/>
  <c r="F53" i="8"/>
  <c r="F43" i="8"/>
  <c r="T35" i="26"/>
  <c r="G44" i="8"/>
  <c r="G61" i="8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T45" i="26"/>
  <c r="Q46" i="26"/>
  <c r="R46" i="26"/>
  <c r="S46" i="26"/>
  <c r="T46" i="26"/>
  <c r="U46" i="26"/>
  <c r="Q47" i="26"/>
  <c r="R47" i="26"/>
  <c r="T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F77" i="8"/>
  <c r="T68" i="26"/>
  <c r="B44" i="8"/>
  <c r="B61" i="8"/>
  <c r="B10" i="8"/>
  <c r="B19" i="8"/>
  <c r="B9" i="8"/>
  <c r="P36" i="26"/>
  <c r="P37" i="26"/>
  <c r="P38" i="26"/>
  <c r="P39" i="26"/>
  <c r="P40" i="26"/>
  <c r="P41" i="26"/>
  <c r="P42" i="26"/>
  <c r="P43" i="26"/>
  <c r="P44" i="26"/>
  <c r="P46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128" i="7"/>
  <c r="G142" i="7"/>
  <c r="U4" i="25"/>
  <c r="F9" i="7"/>
  <c r="F128" i="7"/>
  <c r="F142" i="7"/>
  <c r="T4" i="25"/>
  <c r="E9" i="7"/>
  <c r="S2" i="25"/>
  <c r="E128" i="7"/>
  <c r="S3" i="25"/>
  <c r="D9" i="7"/>
  <c r="D128" i="7"/>
  <c r="D142" i="7"/>
  <c r="R4" i="25"/>
  <c r="R3" i="25"/>
  <c r="C9" i="7"/>
  <c r="Q2" i="25"/>
  <c r="C128" i="7"/>
  <c r="C142" i="7"/>
  <c r="Q4" i="25"/>
  <c r="B9" i="7"/>
  <c r="P2" i="25"/>
  <c r="B128" i="7"/>
  <c r="B142" i="7"/>
  <c r="P4" i="25"/>
  <c r="U3" i="25"/>
  <c r="T3" i="25"/>
  <c r="Q3" i="25"/>
  <c r="P3" i="25"/>
  <c r="A3" i="25"/>
  <c r="A4" i="25"/>
  <c r="A2" i="25"/>
  <c r="A87" i="24"/>
  <c r="C85" i="6"/>
  <c r="C93" i="6"/>
  <c r="C103" i="6"/>
  <c r="C113" i="6"/>
  <c r="C123" i="6"/>
  <c r="C133" i="6"/>
  <c r="C84" i="6"/>
  <c r="Q76" i="24"/>
  <c r="D85" i="6"/>
  <c r="D93" i="6"/>
  <c r="D103" i="6"/>
  <c r="D113" i="6"/>
  <c r="D123" i="6"/>
  <c r="D133" i="6"/>
  <c r="D84" i="6"/>
  <c r="R76" i="24"/>
  <c r="E85" i="6"/>
  <c r="E93" i="6"/>
  <c r="E103" i="6"/>
  <c r="E113" i="6"/>
  <c r="E133" i="6"/>
  <c r="E84" i="6"/>
  <c r="S76" i="24"/>
  <c r="F85" i="6"/>
  <c r="F93" i="6"/>
  <c r="F103" i="6"/>
  <c r="F113" i="6"/>
  <c r="F133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U58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C35" i="5"/>
  <c r="Q29" i="20"/>
  <c r="D35" i="5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C67" i="5"/>
  <c r="Q57" i="20"/>
  <c r="D67" i="5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5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B6" i="1"/>
  <c r="F18" i="23"/>
  <c r="K6" i="3"/>
  <c r="E18" i="23"/>
  <c r="J6" i="3"/>
  <c r="D18" i="23"/>
  <c r="I6" i="3"/>
  <c r="F6" i="1"/>
  <c r="F5" i="13"/>
  <c r="D5" i="13"/>
  <c r="B5" i="13"/>
  <c r="D5" i="12"/>
  <c r="B5" i="12"/>
  <c r="F5" i="12"/>
  <c r="I25" i="23"/>
  <c r="D23" i="23"/>
  <c r="B6" i="11"/>
  <c r="I23" i="23"/>
  <c r="G6" i="10"/>
  <c r="G6" i="11"/>
  <c r="H23" i="23"/>
  <c r="F6" i="11"/>
  <c r="G23" i="23"/>
  <c r="E6" i="11"/>
  <c r="F23" i="23"/>
  <c r="D6" i="11"/>
  <c r="E23" i="23"/>
  <c r="C6" i="10"/>
  <c r="C6" i="11"/>
  <c r="F6" i="10"/>
  <c r="E6" i="10"/>
  <c r="D6" i="10"/>
  <c r="B6" i="10"/>
  <c r="G5" i="13"/>
  <c r="G5" i="12"/>
  <c r="C11" i="23"/>
  <c r="A2" i="13"/>
  <c r="A5" i="9"/>
  <c r="A5" i="8"/>
  <c r="A5" i="7"/>
  <c r="A5" i="6"/>
  <c r="A4" i="5"/>
  <c r="A4" i="4"/>
  <c r="A4" i="3"/>
  <c r="A4" i="2"/>
  <c r="A4" i="1"/>
  <c r="K15" i="3"/>
  <c r="K16" i="3"/>
  <c r="K17" i="3"/>
  <c r="K18" i="3"/>
  <c r="K14" i="3"/>
  <c r="J14" i="3"/>
  <c r="X4" i="17"/>
  <c r="I14" i="3"/>
  <c r="I8" i="3"/>
  <c r="I20" i="3"/>
  <c r="W5" i="17"/>
  <c r="H14" i="3"/>
  <c r="G14" i="3"/>
  <c r="U4" i="17"/>
  <c r="E14" i="3"/>
  <c r="K9" i="3"/>
  <c r="K10" i="3"/>
  <c r="K11" i="3"/>
  <c r="K12" i="3"/>
  <c r="K8" i="3"/>
  <c r="K20" i="3"/>
  <c r="Y5" i="17"/>
  <c r="J8" i="3"/>
  <c r="H8" i="3"/>
  <c r="H20" i="3"/>
  <c r="V5" i="17"/>
  <c r="G8" i="3"/>
  <c r="G20" i="3"/>
  <c r="U5" i="17"/>
  <c r="E8" i="3"/>
  <c r="S3" i="17"/>
  <c r="F41" i="2"/>
  <c r="E41" i="2"/>
  <c r="S17" i="16"/>
  <c r="D41" i="2"/>
  <c r="R17" i="16"/>
  <c r="C41" i="2"/>
  <c r="H27" i="2"/>
  <c r="V15" i="16"/>
  <c r="G27" i="2"/>
  <c r="U15" i="16"/>
  <c r="F27" i="2"/>
  <c r="E27" i="2"/>
  <c r="D27" i="2"/>
  <c r="C27" i="2"/>
  <c r="Q15" i="16"/>
  <c r="B41" i="2"/>
  <c r="P17" i="16"/>
  <c r="B27" i="2"/>
  <c r="H22" i="2"/>
  <c r="G22" i="2"/>
  <c r="U14" i="16"/>
  <c r="F22" i="2"/>
  <c r="E22" i="2"/>
  <c r="T14" i="16"/>
  <c r="D22" i="2"/>
  <c r="C22" i="2"/>
  <c r="B22" i="2"/>
  <c r="E20" i="3"/>
  <c r="J20" i="3"/>
  <c r="X5" i="17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11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3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19" i="1"/>
  <c r="E23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60" i="1"/>
  <c r="C62" i="1"/>
  <c r="Q54" i="15"/>
  <c r="Q53" i="15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W4" i="17"/>
  <c r="V4" i="17"/>
  <c r="W3" i="17"/>
  <c r="X3" i="17"/>
  <c r="S4" i="17"/>
  <c r="Q17" i="16"/>
  <c r="T17" i="16"/>
  <c r="R15" i="16"/>
  <c r="S15" i="16"/>
  <c r="T15" i="16"/>
  <c r="P15" i="16"/>
  <c r="Q14" i="16"/>
  <c r="R14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S5" i="17"/>
  <c r="G8" i="2"/>
  <c r="U8" i="16"/>
  <c r="S14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F20" i="2"/>
  <c r="T13" i="16"/>
  <c r="C8" i="2"/>
  <c r="C20" i="2"/>
  <c r="Q13" i="16"/>
  <c r="D11" i="4"/>
  <c r="R25" i="18"/>
  <c r="R38" i="18"/>
  <c r="C74" i="4"/>
  <c r="Q38" i="18"/>
  <c r="D74" i="4"/>
  <c r="C11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U3" i="17"/>
  <c r="T2" i="25"/>
  <c r="U2" i="25"/>
  <c r="A2" i="14"/>
  <c r="A2" i="10"/>
  <c r="A2" i="9"/>
  <c r="A2" i="8"/>
  <c r="A2" i="3"/>
  <c r="A2" i="11"/>
  <c r="A2" i="4"/>
  <c r="A2" i="12"/>
  <c r="A2" i="1"/>
  <c r="A2" i="5"/>
  <c r="A2" i="6"/>
  <c r="A2" i="2"/>
  <c r="A2" i="7"/>
  <c r="E5" i="12"/>
  <c r="E6" i="1"/>
  <c r="C5" i="12"/>
  <c r="V3" i="17"/>
  <c r="Y3" i="17"/>
  <c r="R2" i="25"/>
  <c r="E142" i="7"/>
  <c r="S4" i="25"/>
  <c r="B53" i="8"/>
  <c r="B43" i="8"/>
  <c r="B77" i="8"/>
  <c r="P68" i="26"/>
  <c r="P45" i="26"/>
  <c r="P47" i="26"/>
  <c r="P35" i="26"/>
  <c r="E53" i="8"/>
  <c r="E43" i="8"/>
  <c r="S35" i="26"/>
  <c r="G55" i="8"/>
  <c r="G53" i="8"/>
  <c r="G43" i="8"/>
  <c r="U35" i="26"/>
  <c r="S45" i="26"/>
  <c r="U45" i="26"/>
  <c r="S47" i="26"/>
  <c r="U47" i="26"/>
  <c r="E77" i="8"/>
  <c r="S68" i="26"/>
  <c r="G77" i="8"/>
  <c r="U68" i="26"/>
</calcChain>
</file>

<file path=xl/sharedStrings.xml><?xml version="1.0" encoding="utf-8"?>
<sst xmlns="http://schemas.openxmlformats.org/spreadsheetml/2006/main" count="4304" uniqueCount="3363">
  <si>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</si>
  <si>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</si>
  <si>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</si>
  <si>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</si>
  <si>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</si>
  <si>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</si>
  <si>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</si>
  <si>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</si>
  <si>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</si>
  <si>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</si>
  <si>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</si>
  <si>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</si>
  <si>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</si>
  <si>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</si>
  <si>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</si>
  <si>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</si>
  <si>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</si>
  <si>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</si>
  <si>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</si>
  <si>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</si>
  <si>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</si>
  <si>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</si>
  <si>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</si>
  <si>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</si>
  <si>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</si>
  <si>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</si>
  <si>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</si>
  <si>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</si>
  <si>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</si>
  <si>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</si>
  <si>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</si>
  <si>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</si>
  <si>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</si>
  <si>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</si>
  <si>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</si>
  <si>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</si>
  <si>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</si>
  <si>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</si>
  <si>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</si>
  <si>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</si>
  <si>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</si>
  <si>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</si>
  <si>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</si>
  <si>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</si>
  <si>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</si>
  <si>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</si>
  <si>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</si>
  <si>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</si>
  <si>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</si>
  <si>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</si>
  <si>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</si>
  <si>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</si>
  <si>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</si>
  <si>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</si>
  <si>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</si>
  <si>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</si>
  <si>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</si>
  <si>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</si>
  <si>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</si>
  <si>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</si>
  <si>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</si>
  <si>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</si>
  <si>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</si>
  <si>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</si>
  <si>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</si>
  <si>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</si>
  <si>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</si>
  <si>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</si>
  <si>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</si>
  <si>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</si>
  <si>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</si>
  <si>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</si>
  <si>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</si>
  <si>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</si>
  <si>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</si>
  <si>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</si>
  <si>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</si>
  <si>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</si>
  <si>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</si>
  <si>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</si>
  <si>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</si>
  <si>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</si>
  <si>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</si>
  <si>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</si>
  <si>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</si>
  <si>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</si>
  <si>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</si>
  <si>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</si>
  <si>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</si>
  <si>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</si>
  <si>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</si>
  <si>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</si>
  <si>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</si>
  <si>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</si>
  <si>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</si>
  <si>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</si>
  <si>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</si>
  <si>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</si>
  <si>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</si>
  <si>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</si>
  <si>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</si>
  <si>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</si>
  <si>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</si>
  <si>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</si>
  <si>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</si>
  <si>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</si>
  <si>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</si>
  <si>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</si>
  <si>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</si>
  <si>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</si>
  <si>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</si>
  <si>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</si>
  <si>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</si>
  <si>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</si>
  <si>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</si>
  <si>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</si>
  <si>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</si>
  <si>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</si>
  <si>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</si>
  <si>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</si>
  <si>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</si>
  <si>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</si>
  <si>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</si>
  <si>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</si>
  <si>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</si>
  <si>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</si>
  <si>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</si>
  <si>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</si>
  <si>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</si>
  <si>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</si>
  <si>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</si>
  <si>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</si>
  <si>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</si>
  <si>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</si>
  <si>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</si>
  <si>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</si>
  <si>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</si>
  <si>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</si>
  <si>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</si>
  <si>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</si>
  <si>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</si>
  <si>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</si>
  <si>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</si>
  <si>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</si>
  <si>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</si>
  <si>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</si>
  <si>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</si>
  <si>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</si>
  <si>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</si>
  <si>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</si>
  <si>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</si>
  <si>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</si>
  <si>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</si>
  <si>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</si>
  <si>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</si>
  <si>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</si>
  <si>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</si>
  <si>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</si>
  <si>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</si>
  <si>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</si>
  <si>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</si>
  <si>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</si>
  <si>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</si>
  <si>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</si>
  <si>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</si>
  <si>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</si>
  <si>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</si>
  <si>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</si>
  <si>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</si>
  <si>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</si>
  <si>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</si>
  <si>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</si>
  <si>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</si>
  <si>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</si>
  <si>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</si>
  <si>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</si>
  <si>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</si>
  <si>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</si>
  <si>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</si>
  <si>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</si>
  <si>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</si>
  <si>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</si>
  <si>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</si>
  <si>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</si>
  <si>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</si>
  <si>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</si>
  <si>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</si>
  <si>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</si>
  <si>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</si>
  <si>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</si>
  <si>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</si>
  <si>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</si>
  <si>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</si>
  <si>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</si>
  <si>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</si>
  <si>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</si>
  <si>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</si>
  <si>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</si>
  <si>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</si>
  <si>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</si>
  <si>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</si>
  <si>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</si>
  <si>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</si>
  <si>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</si>
  <si>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</si>
  <si>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</si>
  <si>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</si>
  <si>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</si>
  <si>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</si>
  <si>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</si>
  <si>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</si>
  <si>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</si>
  <si>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</si>
  <si>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</si>
  <si>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</si>
  <si>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</si>
  <si>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</si>
  <si>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</si>
  <si>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</si>
  <si>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</si>
  <si>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</si>
  <si>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</si>
  <si>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</si>
  <si>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</si>
  <si>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</si>
  <si>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</si>
  <si>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</si>
  <si>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</si>
  <si>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</si>
  <si>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</si>
  <si>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</si>
  <si>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</si>
  <si>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</si>
  <si>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</si>
  <si>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</si>
  <si>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</si>
  <si>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</si>
  <si>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</si>
  <si>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</si>
  <si>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</si>
  <si>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</si>
  <si>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</si>
  <si>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</si>
  <si>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</si>
  <si>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</si>
  <si>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</si>
  <si>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</si>
  <si>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</si>
  <si>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</si>
  <si>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</si>
  <si>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</si>
  <si>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</si>
  <si>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</si>
  <si>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</si>
  <si>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</si>
  <si>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</si>
  <si>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</si>
  <si>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</si>
  <si>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</si>
  <si>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</si>
  <si>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</si>
  <si>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</si>
  <si>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</si>
  <si>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</si>
  <si>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</si>
  <si>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</si>
  <si>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</si>
  <si>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</si>
  <si>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</si>
  <si>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</si>
  <si>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</si>
  <si>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</si>
  <si>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</si>
  <si>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</si>
  <si>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</si>
  <si>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</si>
  <si>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</si>
  <si>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</si>
  <si>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</si>
  <si>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</si>
  <si>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</si>
  <si>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</si>
  <si>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</si>
  <si>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</si>
  <si>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</si>
  <si>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</si>
  <si>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</si>
  <si>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</si>
  <si>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</si>
  <si>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</si>
  <si>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</si>
  <si>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</si>
  <si>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</si>
  <si>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</si>
  <si>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</si>
  <si>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</si>
  <si>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</si>
  <si>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</si>
  <si>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</si>
  <si>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</si>
  <si>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</si>
  <si>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</si>
  <si>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</si>
  <si>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</si>
  <si>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</si>
  <si>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</si>
  <si>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</si>
  <si>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</si>
  <si>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</si>
  <si>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</si>
  <si>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</si>
  <si>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</si>
  <si>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</si>
  <si>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</si>
  <si>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</si>
  <si>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</si>
  <si>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</si>
  <si>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</si>
  <si>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</si>
  <si>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</si>
  <si>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</si>
  <si>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</si>
  <si>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</si>
  <si>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</si>
  <si>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</si>
  <si>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</si>
  <si>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</si>
  <si>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</si>
  <si>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</si>
  <si>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</si>
  <si>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</si>
  <si>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</si>
  <si>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</si>
  <si>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</si>
  <si>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</si>
  <si>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</si>
  <si>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</si>
  <si>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</si>
  <si>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</si>
  <si>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</si>
  <si>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</si>
  <si>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</si>
  <si>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</si>
  <si>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</si>
  <si>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</si>
  <si>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</si>
  <si>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</si>
  <si>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</si>
  <si>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</si>
  <si>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</si>
  <si>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</si>
  <si>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</si>
  <si>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</si>
  <si>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</si>
  <si>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</si>
  <si>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</si>
  <si>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</si>
  <si>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</si>
  <si>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</si>
  <si>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</si>
  <si>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</si>
  <si>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</si>
  <si>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</si>
  <si>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</si>
  <si>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</si>
  <si>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</si>
  <si>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</si>
  <si>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</si>
  <si>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</si>
  <si>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</si>
  <si>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</si>
  <si>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</si>
  <si>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</si>
  <si>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</si>
  <si>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</si>
  <si>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</si>
  <si>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</si>
  <si>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</si>
  <si>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</si>
  <si>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</si>
  <si>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</si>
  <si>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</si>
  <si>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</si>
  <si>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</si>
  <si>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</si>
  <si>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</si>
  <si>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</si>
  <si>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</si>
  <si>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</si>
  <si>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</si>
  <si>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</si>
  <si>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</si>
  <si>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</si>
  <si>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</si>
  <si>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</si>
  <si>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</si>
  <si>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</si>
  <si>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</si>
  <si>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</si>
  <si>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</si>
  <si>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</si>
  <si>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</si>
  <si>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</si>
  <si>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</si>
  <si>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</si>
  <si>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</si>
  <si>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</si>
  <si>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</si>
  <si>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</si>
  <si>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</si>
  <si>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</si>
  <si>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</si>
  <si>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</si>
  <si>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</si>
  <si>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</si>
  <si>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</si>
  <si>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</si>
  <si>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</si>
  <si>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</si>
  <si>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</si>
  <si>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</si>
  <si>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</si>
  <si>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</si>
  <si>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</si>
  <si>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</si>
  <si>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</si>
  <si>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</si>
  <si>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</si>
  <si>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</si>
  <si>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</si>
  <si>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</si>
  <si>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</si>
  <si>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</si>
  <si>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</si>
  <si>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</si>
  <si>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</si>
  <si>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</si>
  <si>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</si>
  <si>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</si>
  <si>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</si>
  <si>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</si>
  <si>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</si>
  <si>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</si>
  <si>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</si>
  <si>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</si>
  <si>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</si>
  <si>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</si>
  <si>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</si>
  <si>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</si>
  <si>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</si>
  <si>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</si>
  <si>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</si>
  <si>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</si>
  <si>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</si>
  <si>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</si>
  <si>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</si>
  <si>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</si>
  <si>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</si>
  <si>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</si>
  <si>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</si>
  <si>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</si>
  <si>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</si>
  <si>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</si>
  <si>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</si>
  <si>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</si>
  <si>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</si>
  <si>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</si>
  <si>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</si>
  <si>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</si>
  <si>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</si>
  <si>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</si>
  <si>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</si>
  <si>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</si>
  <si>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</si>
  <si>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</si>
  <si>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</si>
  <si>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</si>
  <si>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</si>
  <si>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</si>
  <si>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</si>
  <si>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</si>
  <si>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</si>
  <si>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</si>
  <si>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</si>
  <si>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</si>
  <si>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</si>
  <si>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</si>
  <si>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</si>
  <si>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</si>
  <si>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</si>
  <si>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</si>
  <si>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</si>
  <si>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</si>
  <si>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</si>
  <si>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</si>
  <si>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</si>
  <si>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</si>
  <si>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</si>
  <si>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</si>
  <si>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</si>
  <si>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</si>
  <si>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</si>
  <si>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</si>
  <si>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</si>
  <si>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</si>
  <si>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</si>
  <si>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</si>
  <si>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</si>
  <si>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</si>
  <si>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</si>
  <si>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</si>
  <si>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</si>
  <si>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</si>
  <si>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</si>
  <si>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</si>
  <si>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</si>
  <si>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</si>
  <si>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</si>
  <si>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</si>
  <si>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</si>
  <si>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</si>
  <si>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</si>
  <si>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</si>
  <si>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</si>
  <si>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</si>
  <si>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</si>
  <si>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</si>
  <si>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</si>
  <si>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</si>
  <si>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</si>
  <si>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</si>
  <si>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</si>
  <si>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</si>
  <si>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</si>
  <si>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</si>
  <si>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</si>
  <si>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</si>
  <si>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</si>
  <si>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</si>
  <si>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</si>
  <si>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</si>
  <si>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</si>
  <si>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</si>
  <si>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</si>
  <si>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</si>
  <si>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</si>
  <si>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</si>
  <si>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</si>
  <si>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</si>
  <si>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</si>
  <si>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</si>
  <si>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</si>
  <si>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</si>
  <si>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</si>
  <si>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</si>
  <si>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</si>
  <si>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</si>
  <si>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</si>
  <si>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</si>
  <si>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</si>
  <si>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</si>
  <si>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</si>
  <si>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</si>
  <si>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</si>
  <si>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</si>
  <si>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</si>
  <si>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</si>
  <si>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</si>
  <si>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</si>
  <si>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</si>
  <si>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</si>
  <si>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</si>
  <si>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</si>
  <si>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</si>
  <si>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</si>
  <si>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</si>
  <si>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</si>
  <si>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</si>
  <si>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</si>
  <si>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</si>
  <si>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</si>
  <si>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</si>
  <si>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</si>
  <si>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</si>
  <si>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</si>
  <si>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</si>
  <si>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</si>
  <si>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</si>
  <si>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</si>
  <si>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</si>
  <si>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</si>
  <si>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</si>
  <si>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</si>
  <si>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</si>
  <si>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</si>
  <si>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</si>
  <si>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</si>
  <si>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</si>
  <si>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</si>
  <si>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</si>
  <si>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</si>
  <si>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</si>
  <si>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</si>
  <si>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</si>
  <si>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</si>
  <si>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</si>
  <si>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</si>
  <si>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</si>
  <si>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</si>
  <si>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</si>
  <si>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</si>
  <si>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</si>
  <si>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</si>
  <si>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</si>
  <si>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</si>
  <si>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</si>
  <si>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</si>
  <si>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</si>
  <si>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</si>
  <si>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</si>
  <si>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</si>
  <si>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</si>
  <si>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</si>
  <si>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</si>
  <si>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</si>
  <si>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</si>
  <si>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</si>
  <si>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</si>
  <si>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</si>
  <si>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</si>
  <si>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</si>
  <si>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</si>
  <si>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</si>
  <si>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</si>
  <si>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</si>
  <si>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</si>
  <si>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</si>
  <si>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</si>
  <si>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</si>
  <si>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</si>
  <si>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</si>
  <si>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</si>
  <si>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</si>
  <si>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</si>
  <si>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</si>
  <si>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</si>
  <si>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</si>
  <si>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</si>
  <si>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</si>
  <si>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</si>
  <si>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</si>
  <si>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</si>
  <si>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</si>
  <si>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</si>
  <si>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</si>
  <si>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</si>
  <si>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</si>
  <si>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</si>
  <si>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</si>
  <si>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</si>
  <si>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</si>
  <si>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</si>
  <si>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</si>
  <si>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</si>
  <si>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</si>
  <si>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</si>
  <si>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</si>
  <si>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</si>
  <si>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</si>
  <si>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</si>
  <si>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</si>
  <si>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</si>
  <si>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</si>
  <si>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</si>
  <si>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</si>
  <si>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</si>
  <si>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</si>
  <si>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</si>
  <si>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</si>
  <si>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</si>
  <si>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</si>
  <si>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</si>
  <si>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</si>
  <si>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</si>
  <si>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</si>
  <si>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</si>
  <si>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</si>
  <si>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</si>
  <si>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</si>
  <si>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</si>
  <si>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</si>
  <si>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</si>
  <si>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</si>
  <si>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</si>
  <si>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</si>
  <si>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</si>
  <si>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</si>
  <si>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</si>
  <si>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</si>
  <si>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</si>
  <si>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</si>
  <si>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</si>
  <si>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</si>
  <si>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</si>
  <si>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</si>
  <si>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</si>
  <si>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</si>
  <si>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</si>
  <si>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</si>
  <si>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</si>
  <si>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</si>
  <si>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</si>
  <si>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</si>
  <si>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</si>
  <si>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</si>
  <si>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</si>
  <si>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</si>
  <si>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</si>
  <si>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</si>
  <si>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</si>
  <si>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</si>
  <si>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</si>
  <si>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</si>
  <si>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</si>
  <si>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</si>
  <si>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</si>
  <si>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</si>
  <si>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</si>
  <si>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</si>
  <si>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</si>
  <si>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</si>
  <si>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</si>
  <si>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</si>
  <si>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</si>
  <si>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</si>
  <si>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</si>
  <si>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</si>
  <si>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</si>
  <si>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</si>
  <si>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</si>
  <si>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</si>
  <si>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</si>
  <si>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</si>
  <si>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</si>
  <si>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</si>
  <si>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</si>
  <si>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</si>
  <si>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</si>
  <si>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</si>
  <si>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</si>
  <si>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</si>
  <si>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</si>
  <si>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</si>
  <si>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</si>
  <si>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</si>
  <si>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</si>
  <si>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</si>
  <si>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</si>
  <si>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</si>
  <si>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</si>
  <si>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</si>
  <si>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</si>
  <si>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</si>
  <si>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</si>
  <si>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</si>
  <si>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</si>
  <si>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</si>
  <si>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</si>
  <si>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</si>
  <si>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</si>
  <si>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</si>
  <si>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</si>
  <si>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</si>
  <si>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</si>
  <si>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</si>
  <si>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</si>
  <si>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</si>
  <si>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</si>
  <si>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</si>
  <si>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</si>
  <si>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</si>
  <si>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</si>
  <si>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</si>
  <si>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</si>
  <si>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</si>
  <si>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</si>
  <si>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</si>
  <si>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</si>
  <si>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</si>
  <si>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</si>
  <si>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</si>
  <si>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</si>
  <si>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</si>
  <si>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</si>
  <si>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</si>
  <si>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</si>
  <si>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</si>
  <si>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</si>
  <si>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</si>
  <si>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</si>
  <si>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</si>
  <si>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</si>
  <si>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</si>
  <si>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</si>
  <si>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</si>
  <si>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</si>
  <si>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</si>
  <si>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</si>
  <si>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</si>
  <si>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</si>
  <si>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</si>
  <si>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</si>
  <si>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</si>
  <si>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</si>
  <si>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</si>
  <si>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</si>
  <si>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</si>
  <si>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</si>
  <si>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</si>
  <si>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</si>
  <si>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</si>
  <si>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</si>
  <si>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</si>
  <si>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</si>
  <si>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</si>
  <si>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</si>
  <si>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</si>
  <si>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</si>
  <si>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</si>
  <si>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</si>
  <si>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</si>
  <si>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</si>
  <si>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</si>
  <si>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</si>
  <si>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</si>
  <si>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</si>
  <si>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</si>
  <si>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</si>
  <si>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</si>
  <si>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</si>
  <si>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</si>
  <si>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</si>
  <si>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</si>
  <si>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</si>
  <si>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</si>
  <si>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</si>
  <si>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</si>
  <si>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</si>
  <si>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</si>
  <si>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</si>
  <si>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</si>
  <si>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</si>
  <si>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</si>
  <si>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</si>
  <si>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</si>
  <si>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</si>
  <si>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</si>
  <si>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</si>
  <si>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</si>
  <si>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</si>
  <si>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</si>
  <si>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</si>
  <si>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</si>
  <si>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</si>
  <si>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</si>
  <si>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</si>
  <si>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</si>
  <si>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</si>
  <si>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</si>
  <si>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</si>
  <si>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</si>
  <si>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</si>
  <si>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</si>
  <si>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</si>
  <si>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</si>
  <si>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</si>
  <si>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</si>
  <si>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</si>
  <si>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</si>
  <si>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</si>
  <si>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</si>
  <si>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</si>
  <si>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</si>
  <si>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</si>
  <si>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</si>
  <si>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</si>
  <si>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</si>
  <si>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</si>
  <si>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</si>
  <si>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</si>
  <si>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</si>
  <si>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</si>
  <si>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</si>
  <si>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</si>
  <si>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</si>
  <si>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</si>
  <si>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</si>
  <si>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</si>
  <si>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</si>
  <si>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</si>
  <si>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</si>
  <si>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</si>
  <si>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</si>
  <si>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</si>
  <si>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</si>
  <si>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</si>
  <si>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</si>
  <si>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</si>
  <si>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</si>
  <si>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</si>
  <si>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</si>
  <si>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</si>
  <si>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</si>
  <si>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</si>
  <si>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</si>
  <si>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</si>
  <si>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</si>
  <si>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</si>
  <si>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</si>
  <si>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</si>
  <si>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</si>
  <si>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</si>
  <si>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</si>
  <si>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</si>
  <si>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</si>
  <si>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</si>
  <si>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</si>
  <si>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</si>
  <si>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</si>
  <si>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</si>
  <si>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</si>
  <si>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</si>
  <si>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</si>
  <si>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</si>
  <si>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</si>
  <si>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</si>
  <si>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</si>
  <si>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</si>
  <si>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</si>
  <si>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</si>
  <si>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</si>
  <si>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</si>
  <si>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</si>
  <si>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</si>
  <si>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</si>
  <si>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</si>
  <si>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</si>
  <si>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</si>
  <si>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</si>
  <si>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</si>
  <si>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</si>
  <si>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</si>
  <si>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</si>
  <si>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</si>
  <si>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</si>
  <si>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</si>
  <si>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</si>
  <si>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</si>
  <si>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</si>
  <si>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</si>
  <si>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</si>
  <si>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</si>
  <si>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</si>
  <si>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</si>
  <si>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</si>
  <si>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</si>
  <si>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</si>
  <si>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</si>
  <si>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</si>
  <si>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</si>
  <si>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</si>
  <si>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</si>
  <si>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</si>
  <si>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</si>
  <si>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</si>
  <si>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</si>
  <si>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</si>
  <si>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</si>
  <si>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</si>
  <si>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</si>
  <si>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</si>
  <si>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</si>
  <si>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</si>
  <si>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</si>
  <si>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</si>
  <si>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</si>
  <si>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</si>
  <si>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</si>
  <si>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</si>
  <si>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</si>
  <si>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</si>
  <si>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</si>
  <si>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</si>
  <si>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</si>
  <si>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</si>
  <si>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</si>
  <si>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</si>
  <si>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</si>
  <si>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</si>
  <si>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</si>
  <si>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</si>
  <si>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</si>
  <si>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</si>
  <si>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</si>
  <si>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</si>
  <si>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</si>
  <si>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</si>
  <si>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</si>
  <si>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</si>
  <si>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</si>
  <si>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</si>
  <si>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</si>
  <si>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</si>
  <si>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</si>
  <si>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</si>
  <si>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</si>
  <si>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</si>
  <si>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</si>
  <si>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</si>
  <si>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</si>
  <si>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</si>
  <si>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</si>
  <si>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</si>
  <si>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</si>
  <si>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</si>
  <si>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</si>
  <si>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</si>
  <si>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</si>
  <si>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</si>
  <si>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</si>
  <si>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</si>
  <si>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</si>
  <si>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</si>
  <si>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</si>
  <si>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</si>
  <si>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</si>
  <si>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</si>
  <si>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</si>
  <si>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</si>
  <si>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</si>
  <si>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</si>
  <si>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</si>
  <si>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</si>
  <si>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</si>
  <si>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</si>
  <si>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</si>
  <si>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</si>
  <si>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</si>
  <si>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</si>
  <si>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</si>
  <si>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</si>
  <si>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</si>
  <si>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</si>
  <si>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</si>
  <si>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</si>
  <si>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</si>
  <si>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</si>
  <si>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</si>
  <si>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</si>
  <si>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</si>
  <si>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</si>
  <si>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</si>
  <si>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</si>
  <si>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</si>
  <si>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</si>
  <si>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</si>
  <si>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</si>
  <si>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</si>
  <si>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</si>
  <si>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</si>
  <si>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</si>
  <si>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</si>
  <si>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</si>
  <si>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</si>
  <si>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</si>
  <si>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</si>
  <si>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</si>
  <si>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</si>
  <si>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</si>
  <si>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</si>
  <si>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</si>
  <si>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</si>
  <si>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</si>
  <si>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</si>
  <si>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</si>
  <si>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</si>
  <si>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</si>
  <si>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</si>
  <si>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</si>
  <si>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</si>
  <si>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</si>
  <si>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</si>
  <si>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</si>
  <si>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</si>
  <si>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</si>
  <si>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</si>
  <si>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</si>
  <si>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</si>
  <si>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</si>
  <si>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</si>
  <si>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</si>
  <si>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</si>
  <si>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</si>
  <si>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</si>
  <si>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</si>
  <si>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</si>
  <si>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</si>
  <si>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</si>
  <si>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</si>
  <si>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</si>
  <si>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</si>
  <si>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</si>
  <si>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</si>
  <si>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</si>
  <si>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</si>
  <si>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</si>
  <si>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</si>
  <si>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</si>
  <si>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</si>
  <si>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</si>
  <si>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</si>
  <si>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</si>
  <si>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</si>
  <si>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</si>
  <si>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</si>
  <si>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</si>
  <si>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</si>
  <si>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</si>
  <si>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</si>
  <si>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</si>
  <si>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</si>
  <si>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</si>
  <si>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</si>
  <si>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</si>
  <si>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</si>
  <si>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</si>
  <si>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</si>
  <si>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</si>
  <si>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</si>
  <si>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</si>
  <si>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</si>
  <si>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</si>
  <si>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</si>
  <si>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</si>
  <si>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</si>
  <si>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</si>
  <si>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</si>
  <si>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</si>
  <si>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</si>
  <si>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</si>
  <si>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</si>
  <si>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</si>
  <si>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</si>
  <si>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</si>
  <si>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</si>
  <si>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</si>
  <si>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</si>
  <si>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</si>
  <si>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</si>
  <si>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</si>
  <si>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</si>
  <si>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</si>
  <si>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</si>
  <si>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</si>
  <si>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</si>
  <si>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</si>
  <si>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</si>
  <si>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</si>
  <si>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</si>
  <si>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</si>
  <si>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</si>
  <si>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</si>
  <si>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</si>
  <si>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</si>
  <si>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</si>
  <si>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</si>
  <si>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</si>
  <si>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</si>
  <si>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</si>
  <si>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</si>
  <si>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</si>
  <si>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</si>
  <si>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</si>
  <si>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</si>
  <si>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</si>
  <si>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</si>
  <si>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</si>
  <si>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</si>
  <si>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</si>
  <si>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</si>
  <si>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</si>
  <si>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</si>
  <si>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</si>
  <si>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</si>
  <si>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</si>
  <si>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</si>
  <si>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</si>
  <si>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</si>
  <si>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</si>
  <si>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</si>
  <si>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</si>
  <si>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</si>
  <si>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</si>
  <si>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</si>
  <si>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</si>
  <si>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</si>
  <si>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</si>
  <si>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</si>
  <si>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</si>
  <si>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</si>
  <si>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</si>
  <si>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</si>
  <si>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</si>
  <si>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</si>
  <si>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</si>
  <si>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</si>
  <si>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</si>
  <si>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</si>
  <si>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</si>
  <si>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</si>
  <si>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</si>
  <si>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</si>
  <si>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</si>
  <si>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</si>
  <si>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</si>
  <si>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</si>
  <si>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</si>
  <si>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</si>
  <si>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</si>
  <si>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</si>
  <si>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</si>
  <si>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</si>
  <si>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</si>
  <si>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</si>
  <si>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</si>
  <si>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</si>
  <si>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</si>
  <si>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</si>
  <si>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</si>
  <si>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</si>
  <si>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</si>
  <si>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</si>
  <si>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</si>
  <si>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</si>
  <si>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</si>
  <si>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</si>
  <si>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</si>
  <si>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</si>
  <si>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</si>
  <si>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</si>
  <si>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</si>
  <si>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</si>
  <si>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</si>
  <si>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</si>
  <si>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</si>
  <si>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</si>
  <si>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</si>
  <si>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</si>
  <si>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</si>
  <si>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</si>
  <si>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</si>
  <si>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</si>
  <si>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</si>
  <si>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</si>
  <si>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</si>
  <si>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</si>
  <si>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</si>
  <si>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</si>
  <si>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</si>
  <si>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</si>
  <si>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</si>
  <si>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</si>
  <si>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</si>
  <si>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</si>
  <si>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</si>
  <si>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</si>
  <si>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</si>
  <si>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</si>
  <si>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</si>
  <si>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</si>
  <si>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</si>
  <si>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</si>
  <si>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</si>
  <si>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</si>
  <si>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</si>
  <si>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</si>
  <si>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</si>
  <si>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</si>
  <si>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</si>
  <si>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</si>
  <si>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</si>
  <si>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</si>
  <si>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</si>
  <si>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</si>
  <si>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</si>
  <si>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</si>
  <si>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</si>
  <si>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</si>
  <si>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</si>
  <si>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</si>
  <si>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</si>
  <si>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</si>
  <si>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</si>
  <si>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</si>
  <si>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</si>
  <si>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</si>
  <si>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</si>
  <si>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</si>
  <si>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</si>
  <si>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</si>
  <si>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</si>
  <si>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</si>
  <si>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</si>
  <si>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</si>
  <si>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</si>
  <si>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</si>
  <si>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</si>
  <si>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</si>
  <si>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</si>
  <si>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</si>
  <si>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</si>
  <si>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</si>
  <si>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</si>
  <si>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</si>
  <si>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</si>
  <si>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</si>
  <si>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</si>
  <si>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</si>
  <si>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</si>
  <si>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</si>
  <si>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</si>
  <si>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</si>
  <si>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</si>
  <si>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</si>
  <si>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</si>
  <si>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</si>
  <si>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</si>
  <si>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</si>
  <si>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</si>
  <si>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</si>
  <si>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</si>
  <si>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</si>
  <si>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</si>
  <si>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</si>
  <si>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</si>
  <si>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</si>
  <si>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</si>
  <si>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</si>
  <si>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</si>
  <si>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</si>
  <si>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</si>
  <si>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</si>
  <si>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</si>
  <si>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</si>
  <si>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</si>
  <si>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</si>
  <si>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</si>
  <si>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</si>
  <si>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</si>
  <si>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</si>
  <si>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</si>
  <si>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</si>
  <si>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</si>
  <si>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</si>
  <si>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</si>
  <si>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</si>
  <si>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</si>
  <si>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</si>
  <si>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</si>
  <si>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</si>
  <si>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</si>
  <si>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</si>
  <si>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</si>
  <si>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</si>
  <si>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</si>
  <si>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</si>
  <si>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</si>
  <si>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</si>
  <si>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</si>
  <si>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</si>
  <si>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</si>
  <si>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</si>
  <si>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</si>
  <si>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</si>
  <si>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</si>
  <si>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</si>
  <si>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</si>
  <si>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</si>
  <si>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</si>
  <si>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</si>
  <si>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</si>
  <si>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</si>
  <si>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</si>
  <si>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</si>
  <si>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</si>
  <si>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</si>
  <si>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</si>
  <si>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</si>
  <si>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</si>
  <si>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</si>
  <si>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</si>
  <si>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</si>
  <si>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</si>
  <si>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</si>
  <si>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</si>
  <si>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</si>
  <si>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</si>
  <si>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</si>
  <si>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</si>
  <si>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</si>
  <si>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</si>
  <si>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</si>
  <si>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</si>
  <si>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</si>
  <si>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</si>
  <si>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</si>
  <si>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</si>
  <si>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</si>
  <si>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</si>
  <si>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</si>
  <si>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</si>
  <si>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</si>
  <si>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</si>
  <si>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</si>
  <si>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</si>
  <si>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</si>
  <si>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</si>
  <si>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</si>
  <si>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</si>
  <si>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</si>
  <si>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</si>
  <si>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</si>
  <si>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</si>
  <si>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</si>
  <si>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</si>
  <si>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</si>
  <si>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</si>
  <si>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</si>
  <si>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</si>
  <si>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</si>
  <si>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</si>
  <si>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</si>
  <si>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</si>
  <si>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</si>
  <si>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</si>
  <si>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</si>
  <si>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</si>
  <si>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</si>
  <si>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</si>
  <si>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</si>
  <si>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</si>
  <si>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</si>
  <si>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</si>
  <si>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</si>
  <si>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</si>
  <si>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</si>
  <si>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</si>
  <si>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</si>
  <si>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</si>
  <si>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</si>
  <si>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</si>
  <si>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</si>
  <si>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</si>
  <si>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</si>
  <si>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</si>
  <si>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</si>
  <si>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</si>
  <si>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</si>
  <si>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</si>
  <si>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</si>
  <si>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</si>
  <si>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</si>
  <si>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</si>
  <si>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</si>
  <si>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</si>
  <si>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</si>
  <si>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</si>
  <si>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</si>
  <si>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</si>
  <si>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</si>
  <si>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</si>
  <si>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</si>
  <si>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</si>
  <si>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</si>
  <si>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</si>
  <si>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</si>
  <si>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</si>
  <si>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</si>
  <si>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</si>
  <si>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</si>
  <si>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</si>
  <si>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</si>
  <si>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</si>
  <si>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</si>
  <si>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</si>
  <si>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</si>
  <si>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</si>
  <si>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</si>
  <si>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</si>
  <si>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</si>
  <si>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</si>
  <si>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</si>
  <si>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</si>
  <si>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</si>
  <si>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</si>
  <si>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</si>
  <si>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</si>
  <si>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</si>
  <si>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</si>
  <si>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</si>
  <si>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</si>
  <si>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</si>
  <si>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</si>
  <si>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</si>
  <si>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</si>
  <si>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</si>
  <si>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</si>
  <si>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</si>
  <si>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</si>
  <si>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</si>
  <si>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</si>
  <si>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</si>
  <si>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</si>
  <si>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</si>
  <si>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</si>
  <si>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</si>
  <si>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</si>
  <si>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</si>
  <si>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</si>
  <si>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</si>
  <si>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</si>
  <si>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</si>
  <si>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</si>
  <si>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</si>
  <si>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</si>
  <si>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</si>
  <si>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</si>
  <si>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</si>
  <si>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</si>
  <si>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</si>
  <si>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</si>
  <si>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</si>
  <si>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</si>
  <si>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</si>
  <si>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</si>
  <si>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</si>
  <si>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</si>
  <si>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</si>
  <si>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</si>
  <si>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</si>
  <si>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</si>
  <si>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</si>
  <si>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</si>
  <si>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</si>
  <si>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</si>
  <si>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</si>
  <si>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</si>
  <si>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</si>
  <si>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</si>
  <si>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</si>
  <si>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</si>
  <si>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</si>
  <si>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</si>
  <si>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</si>
  <si>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</si>
  <si>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</si>
  <si>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</si>
  <si>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</si>
  <si>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</si>
  <si>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</si>
  <si>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</si>
  <si>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</si>
  <si>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</si>
  <si>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</si>
  <si>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</si>
  <si>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</si>
  <si>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</si>
  <si>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</si>
  <si>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</si>
  <si>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</si>
  <si>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</si>
  <si>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</si>
  <si>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</si>
  <si>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</si>
  <si>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</si>
  <si>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</si>
  <si>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</si>
  <si>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</si>
  <si>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</si>
  <si>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</si>
  <si>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</si>
  <si>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</si>
  <si>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</si>
  <si>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</si>
  <si>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</si>
  <si>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</si>
  <si>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</si>
  <si>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</si>
  <si>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</si>
  <si>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</si>
  <si>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</si>
  <si>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</si>
  <si>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</si>
  <si>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</si>
  <si>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</si>
  <si>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</si>
  <si>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</si>
  <si>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</si>
  <si>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</si>
  <si>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</si>
  <si>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</si>
  <si>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</si>
  <si>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</si>
  <si>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</si>
  <si>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</si>
  <si>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</si>
  <si>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</si>
  <si>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</si>
  <si>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</si>
  <si>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</si>
  <si>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</si>
  <si>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</si>
  <si>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</si>
  <si>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</si>
  <si>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</si>
  <si>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</si>
  <si>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</si>
  <si>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</si>
  <si>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</si>
  <si>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</si>
  <si>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</si>
  <si>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</si>
  <si>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</si>
  <si>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</si>
  <si>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</si>
  <si>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</si>
  <si>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</si>
  <si>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</si>
  <si>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</si>
  <si>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</si>
  <si>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</si>
  <si>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</si>
  <si>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</si>
  <si>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</si>
  <si>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</si>
  <si>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</si>
  <si>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</si>
  <si>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</si>
  <si>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</si>
  <si>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</si>
  <si>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</si>
  <si>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</si>
  <si>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</si>
  <si>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</si>
  <si>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</si>
  <si>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</si>
  <si>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</si>
  <si>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</si>
  <si>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</si>
  <si>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</si>
  <si>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</si>
  <si>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</si>
  <si>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</si>
  <si>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</si>
  <si>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</si>
  <si>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</si>
  <si>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</si>
  <si>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</si>
  <si>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</si>
  <si>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</si>
  <si>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</si>
  <si>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</si>
  <si>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</si>
  <si>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</si>
  <si>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</si>
  <si>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</si>
  <si>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</si>
  <si>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</si>
  <si>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</si>
  <si>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</si>
  <si>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</si>
  <si>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</si>
  <si>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</si>
  <si>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</si>
  <si>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</si>
  <si>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</si>
  <si>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</si>
  <si>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</si>
  <si>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</si>
  <si>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</si>
  <si>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</si>
  <si>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</si>
  <si>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</si>
  <si>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</si>
  <si>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</si>
  <si>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</si>
  <si>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</si>
  <si>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</si>
  <si>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</si>
  <si>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</si>
  <si>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</si>
  <si>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</si>
  <si>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</si>
  <si>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</si>
  <si>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</si>
  <si>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</si>
  <si>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</si>
  <si>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</si>
  <si>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</si>
  <si>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</si>
  <si>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</si>
  <si>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</si>
  <si>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</si>
  <si>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</si>
  <si>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</si>
  <si>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</si>
  <si>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</si>
  <si>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</si>
  <si>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</si>
  <si>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</si>
  <si>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</si>
  <si>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</si>
  <si>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</si>
  <si>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</si>
  <si>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</si>
  <si>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</si>
  <si>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</si>
  <si>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</si>
  <si>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</si>
  <si>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</si>
  <si>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</si>
  <si>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</si>
  <si>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</si>
  <si>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</si>
  <si>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</si>
  <si>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</si>
  <si>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</si>
  <si>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</si>
  <si>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</si>
  <si>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</si>
  <si>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</si>
  <si>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</si>
  <si>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</si>
  <si>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</si>
  <si>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</si>
  <si>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</si>
  <si>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</si>
  <si>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</si>
  <si>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</si>
  <si>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</si>
  <si>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</si>
  <si>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</si>
  <si>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</si>
  <si>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</si>
  <si>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</si>
  <si>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</si>
  <si>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</si>
  <si>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</si>
  <si>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</si>
  <si>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</si>
  <si>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</si>
  <si>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</si>
  <si>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</si>
  <si>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</si>
  <si>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</si>
  <si>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</si>
  <si>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</si>
  <si>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</si>
  <si>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</si>
  <si>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</si>
  <si>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</si>
  <si>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</si>
  <si>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</si>
  <si>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</si>
  <si>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</si>
  <si>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</si>
  <si>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</si>
  <si>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</si>
  <si>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</si>
  <si>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</si>
  <si>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</si>
  <si>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</si>
  <si>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</si>
  <si>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</si>
  <si>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</si>
  <si>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</si>
  <si>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</si>
  <si>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</si>
  <si>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</si>
  <si>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</si>
  <si>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</si>
  <si>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</si>
  <si>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</si>
  <si>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</si>
  <si>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</si>
  <si>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</si>
  <si>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</si>
  <si>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</si>
  <si>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</si>
  <si>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</si>
  <si>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</si>
  <si>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</si>
  <si>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</si>
  <si>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</si>
  <si>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</si>
  <si>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</si>
  <si>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</si>
  <si>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</si>
  <si>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</si>
  <si>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</si>
  <si>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</si>
  <si>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</si>
  <si>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</si>
  <si>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</si>
  <si>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</si>
  <si>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</si>
  <si>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</si>
  <si>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</si>
  <si>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</si>
  <si>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</si>
  <si>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</si>
  <si>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</si>
  <si>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</si>
  <si>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</si>
  <si>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</si>
  <si>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</si>
  <si>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</si>
  <si>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</si>
  <si>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</si>
  <si>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</si>
  <si>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</si>
  <si>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</si>
  <si>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</si>
  <si>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</si>
  <si>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</si>
  <si>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</si>
  <si>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</si>
  <si>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</si>
  <si>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</si>
  <si>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</si>
  <si>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</si>
  <si>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</si>
  <si>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</si>
  <si>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</si>
  <si>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</si>
  <si>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</si>
  <si>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</si>
  <si>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</si>
  <si>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</si>
  <si>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</si>
  <si>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</si>
  <si>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</si>
  <si>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</si>
  <si>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</si>
  <si>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</si>
  <si>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</si>
  <si>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</si>
  <si>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</si>
  <si>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</si>
  <si>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</si>
  <si>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</si>
  <si>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</si>
  <si>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</si>
  <si>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</si>
  <si>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</si>
  <si>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</si>
  <si>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</si>
  <si>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</si>
  <si>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</si>
  <si>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</si>
  <si>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</si>
  <si>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</si>
  <si>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</si>
  <si>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</si>
  <si>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</si>
  <si>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</si>
  <si>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</si>
  <si>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</si>
  <si>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</si>
  <si>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</si>
  <si>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</si>
  <si>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</si>
  <si>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</si>
  <si>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</si>
  <si>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</si>
  <si>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</si>
  <si>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</si>
  <si>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</si>
  <si>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</si>
  <si>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</si>
  <si>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</si>
  <si>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</si>
  <si>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</si>
  <si>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</si>
  <si>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</si>
  <si>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</si>
  <si>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</si>
  <si>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</si>
  <si>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</si>
  <si>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</si>
  <si>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</si>
  <si>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</si>
  <si>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</si>
  <si>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</si>
  <si>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</si>
  <si>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</si>
  <si>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</si>
  <si>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</si>
  <si>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</si>
  <si>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</si>
  <si>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</si>
  <si>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</si>
  <si>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</si>
  <si>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</si>
  <si>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</si>
  <si>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</si>
  <si>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</si>
  <si>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</si>
  <si>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</si>
  <si>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</si>
  <si>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</si>
  <si>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</si>
  <si>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</si>
  <si>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</si>
  <si>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</si>
  <si>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</si>
  <si>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</si>
  <si>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</si>
  <si>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</si>
  <si>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</si>
  <si>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</si>
  <si>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</si>
  <si>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</si>
  <si>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</si>
  <si>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</si>
  <si>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</si>
  <si>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</si>
  <si>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</si>
  <si>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</si>
  <si>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</si>
  <si>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</si>
  <si>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</si>
  <si>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</si>
  <si>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</si>
  <si>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</si>
  <si>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</si>
  <si>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</si>
  <si>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</si>
  <si>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</si>
  <si>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</si>
  <si>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</si>
  <si>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</si>
  <si>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</si>
  <si>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</si>
  <si>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</si>
  <si>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</si>
  <si>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</si>
  <si>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</si>
  <si>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</si>
  <si>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</si>
  <si>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</si>
  <si>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</si>
  <si>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</si>
  <si>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</si>
  <si>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</si>
  <si>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</si>
  <si>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</si>
  <si>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</si>
  <si>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</si>
  <si>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</si>
  <si>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</si>
  <si>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</si>
  <si>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</si>
  <si>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</si>
  <si>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</si>
  <si>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</si>
  <si>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</si>
  <si>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</si>
  <si>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</si>
  <si>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</si>
  <si>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</si>
  <si>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</si>
  <si>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</si>
  <si>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</si>
  <si>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</si>
  <si>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</si>
  <si>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</si>
  <si>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</si>
  <si>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</si>
  <si>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</si>
  <si>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</si>
  <si>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</si>
  <si>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</si>
  <si>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</si>
  <si>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</si>
  <si>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</si>
  <si>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</si>
  <si>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</si>
  <si>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</si>
  <si>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</si>
  <si>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</si>
  <si>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</si>
  <si>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</si>
  <si>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</si>
  <si>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</si>
  <si>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</si>
  <si>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</si>
  <si>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</si>
  <si>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</si>
  <si>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</si>
  <si>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</si>
  <si>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</si>
  <si>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</si>
  <si>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</si>
  <si>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</si>
  <si>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</si>
  <si>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</si>
  <si>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</si>
  <si>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</si>
  <si>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</si>
  <si>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</si>
  <si>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</si>
  <si>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</si>
  <si>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</si>
  <si>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</si>
  <si>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</si>
  <si>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</si>
  <si>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</si>
  <si>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</si>
  <si>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</si>
  <si>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</si>
  <si>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</si>
  <si>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</si>
  <si>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</si>
  <si>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</si>
  <si>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</si>
  <si>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</si>
  <si>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</si>
  <si>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</si>
  <si>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</si>
  <si>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</si>
  <si>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</si>
  <si>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</si>
  <si>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</si>
  <si>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</si>
  <si>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</si>
  <si>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</si>
  <si>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</si>
  <si>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</si>
  <si>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</si>
  <si>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</si>
  <si>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</si>
  <si>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</si>
  <si>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</si>
  <si>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</si>
  <si>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</si>
  <si>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</si>
  <si>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</si>
  <si>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</si>
  <si>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</si>
  <si>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</si>
  <si>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</si>
  <si>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</si>
  <si>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</si>
  <si>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</si>
  <si>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</si>
  <si>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</si>
  <si>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</si>
  <si>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</si>
  <si>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</si>
  <si>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</si>
  <si>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</si>
  <si>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</si>
  <si>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</si>
  <si>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</si>
  <si>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</si>
  <si>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</si>
  <si>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</si>
  <si>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</si>
  <si>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</si>
  <si>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</si>
  <si>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</si>
  <si>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</si>
  <si>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</si>
  <si>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</si>
  <si>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</si>
  <si>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</si>
  <si>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</si>
  <si>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</si>
  <si>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</si>
  <si>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</si>
  <si>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</si>
  <si>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</si>
  <si>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</si>
  <si>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</si>
  <si>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</si>
  <si>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</si>
  <si>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</si>
  <si>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</si>
  <si>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</si>
  <si>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</si>
  <si>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</si>
  <si>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</si>
  <si>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</si>
  <si>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</si>
  <si>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</si>
  <si>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</si>
  <si>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</si>
  <si>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</si>
  <si>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</si>
  <si>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</si>
  <si>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</si>
  <si>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</si>
  <si>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</si>
  <si>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</si>
  <si>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</si>
  <si>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</si>
  <si>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</si>
  <si>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</si>
  <si>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</si>
  <si>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</si>
  <si>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</si>
  <si>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</si>
  <si>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</si>
  <si>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</si>
  <si>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</si>
  <si>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</si>
  <si>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</si>
  <si>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</si>
  <si>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</si>
  <si>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</si>
  <si>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</si>
  <si>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</si>
  <si>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</si>
  <si>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</si>
  <si>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</si>
  <si>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</si>
  <si>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</si>
  <si>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</si>
  <si>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</si>
  <si>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</si>
  <si>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</si>
  <si>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</si>
  <si>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</si>
  <si>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</si>
  <si>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</si>
  <si>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</si>
  <si>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</si>
  <si>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</si>
  <si>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</si>
  <si>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</si>
  <si>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</si>
  <si>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</si>
  <si>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</si>
  <si>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</si>
  <si>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</si>
  <si>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</si>
  <si>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</si>
  <si>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</si>
  <si>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</si>
  <si>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</si>
  <si>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</si>
  <si>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</si>
  <si>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</si>
  <si>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</si>
  <si>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</si>
  <si>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</si>
  <si>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</si>
  <si>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</si>
  <si>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</si>
  <si>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</si>
  <si>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</si>
  <si>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</si>
  <si>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</si>
  <si>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</si>
  <si>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</si>
  <si>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</si>
  <si>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</si>
  <si>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</si>
  <si>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</si>
  <si>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</si>
  <si>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</si>
  <si>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</si>
  <si>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</si>
  <si>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</si>
  <si>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</si>
  <si>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</si>
  <si>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</si>
  <si>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</si>
  <si>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</si>
  <si>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</si>
  <si>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</si>
  <si>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</si>
  <si>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</si>
  <si>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</si>
  <si>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</si>
  <si>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</si>
  <si>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</si>
  <si>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</si>
  <si>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</si>
  <si>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</si>
  <si>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</si>
  <si>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</si>
  <si>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</si>
  <si>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</si>
  <si>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</si>
  <si>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</si>
  <si>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</si>
  <si>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</si>
  <si>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</si>
  <si>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</si>
  <si>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</si>
  <si>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</si>
  <si>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</si>
  <si>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</si>
  <si>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</si>
  <si>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</si>
  <si>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</si>
  <si>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</si>
  <si>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</si>
  <si>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</si>
  <si>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</si>
  <si>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</si>
  <si>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</si>
  <si>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</si>
  <si>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</si>
  <si>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</si>
  <si>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</si>
  <si>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</si>
  <si>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</si>
  <si>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</si>
  <si>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</si>
  <si>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</si>
  <si>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</si>
  <si>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</si>
  <si>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</si>
  <si>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</si>
  <si>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</si>
  <si>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</si>
  <si>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</si>
  <si>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</si>
  <si>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</si>
  <si>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</si>
  <si>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</si>
  <si>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</si>
  <si>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</si>
  <si>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</si>
  <si>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</si>
  <si>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</si>
  <si>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</si>
  <si>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</si>
  <si>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</si>
  <si>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</si>
  <si>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</si>
  <si>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</si>
  <si>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</si>
  <si>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</si>
  <si>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</si>
  <si>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</si>
  <si>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</si>
  <si>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</si>
  <si>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</si>
  <si>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</si>
  <si>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</si>
  <si>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</si>
  <si>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</si>
  <si>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</si>
  <si>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</si>
  <si>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</si>
  <si>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</si>
  <si>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</si>
  <si>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</si>
  <si>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</si>
  <si>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</si>
  <si>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</si>
  <si>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</si>
  <si>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</si>
  <si>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</si>
  <si>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</si>
  <si>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</si>
  <si>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</si>
  <si>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</si>
  <si>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</si>
  <si>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</si>
  <si>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</si>
  <si>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</si>
  <si>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</si>
  <si>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</si>
  <si>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</si>
  <si>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</si>
  <si>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</si>
  <si>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</si>
  <si>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</si>
  <si>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</si>
  <si>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</si>
  <si>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</si>
  <si>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</si>
  <si>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</si>
  <si>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</si>
  <si>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</si>
  <si>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</si>
  <si>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</si>
  <si>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</si>
  <si>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</si>
  <si>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</si>
  <si>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</si>
  <si>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</si>
  <si>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</si>
  <si>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</si>
  <si>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</si>
  <si>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</si>
  <si>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</si>
  <si>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</si>
  <si>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</si>
  <si>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</si>
  <si>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</si>
  <si>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</si>
  <si>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</si>
  <si>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</si>
  <si>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</si>
  <si>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</si>
  <si>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</si>
  <si>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</si>
  <si>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</si>
  <si>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</si>
  <si>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</si>
  <si>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</si>
  <si>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</si>
  <si>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</si>
  <si>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</si>
  <si>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</si>
  <si>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</si>
  <si>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</si>
  <si>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</si>
  <si>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</si>
  <si>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</si>
  <si>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</si>
  <si>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</si>
  <si>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</si>
  <si>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</si>
  <si>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</si>
  <si>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</si>
  <si>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</si>
  <si>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</si>
  <si>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</si>
  <si>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</si>
  <si>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</si>
  <si>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</si>
  <si>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</si>
  <si>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</si>
  <si>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</si>
  <si>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</si>
  <si>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</si>
  <si>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</si>
  <si>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</si>
  <si>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</si>
  <si>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</si>
  <si>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</si>
  <si>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</si>
  <si>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</si>
  <si>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</si>
  <si>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</si>
  <si>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</si>
  <si>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</si>
  <si>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</si>
  <si>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</si>
  <si>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</si>
  <si>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</si>
  <si>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</si>
  <si>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</si>
  <si>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</si>
  <si>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</si>
  <si>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</si>
  <si>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</si>
  <si>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</si>
  <si>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</si>
  <si>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</si>
  <si>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</si>
  <si>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</si>
  <si>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</si>
  <si>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</si>
  <si>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</si>
  <si>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</si>
  <si>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</si>
  <si>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</si>
  <si>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</si>
  <si>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</si>
  <si>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</si>
  <si>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</si>
  <si>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</si>
  <si>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</si>
  <si>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</si>
  <si>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</si>
  <si>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</si>
  <si>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</si>
  <si>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</si>
  <si>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</si>
  <si>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</si>
  <si>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</si>
  <si>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</si>
  <si>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</si>
  <si>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</si>
  <si>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</si>
  <si>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</si>
  <si>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</si>
  <si>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</si>
  <si>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</si>
  <si>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</si>
  <si>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</si>
  <si>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</si>
  <si>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</si>
  <si>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</si>
  <si>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</si>
  <si>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</si>
  <si>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</si>
  <si>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</si>
  <si>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</si>
  <si>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</si>
  <si>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</si>
  <si>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</si>
  <si>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</si>
  <si>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</si>
  <si>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</si>
  <si>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</si>
  <si>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</si>
  <si>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</si>
  <si>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</si>
  <si>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</si>
  <si>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</si>
  <si>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</si>
  <si>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</si>
  <si>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</si>
  <si>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</si>
  <si>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</si>
  <si>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</si>
  <si>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</si>
  <si>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</si>
  <si>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</si>
  <si>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</si>
  <si>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</si>
  <si>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</si>
  <si>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</si>
  <si>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</si>
  <si>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</si>
  <si>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</si>
  <si>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</si>
  <si>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</si>
  <si>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</si>
  <si>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</si>
  <si>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</si>
  <si>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</si>
  <si>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</si>
  <si>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</si>
  <si>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</si>
  <si>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</si>
  <si>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</si>
  <si>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</si>
  <si>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</si>
  <si>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</si>
  <si>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</si>
  <si>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</si>
  <si>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</si>
  <si>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</si>
  <si>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</si>
  <si>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</si>
  <si>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</si>
  <si>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</si>
  <si>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</si>
  <si>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</si>
  <si>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</si>
  <si>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</si>
  <si>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</si>
  <si>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</si>
  <si>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</si>
  <si>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</si>
  <si>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</si>
  <si>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</si>
  <si>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</si>
  <si>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</si>
  <si>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</si>
  <si>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</si>
  <si>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</si>
  <si>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</si>
  <si>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</si>
  <si>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</si>
  <si>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</si>
  <si>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</si>
  <si>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</si>
  <si>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</si>
  <si>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</si>
  <si>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</si>
  <si>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</si>
  <si>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</si>
  <si>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</si>
  <si>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</si>
  <si>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</si>
  <si>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</si>
  <si>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</si>
  <si>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</si>
  <si>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</si>
  <si>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</si>
  <si>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</si>
  <si>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</si>
  <si>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</si>
  <si>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</si>
  <si>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</si>
  <si>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</si>
  <si>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</si>
  <si>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</si>
  <si>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</si>
  <si>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</si>
  <si>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</si>
  <si>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</si>
  <si>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</si>
  <si>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</si>
  <si>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</si>
  <si>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</si>
  <si>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</si>
  <si>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</si>
  <si>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</si>
  <si>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</si>
  <si>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</si>
  <si>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</si>
  <si>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</si>
  <si>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</si>
  <si>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</si>
  <si>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</si>
  <si>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</si>
  <si>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</si>
  <si>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</si>
  <si>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</si>
  <si>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</si>
  <si>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</si>
  <si>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</si>
  <si>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</si>
  <si>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</si>
  <si>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</si>
  <si>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</si>
  <si>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</si>
  <si>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</si>
  <si>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</si>
  <si>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</si>
  <si>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</si>
  <si>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</si>
  <si>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</si>
  <si>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</si>
  <si>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</si>
  <si>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</si>
  <si>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</si>
  <si>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</si>
  <si>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</si>
  <si>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</si>
  <si>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</si>
  <si>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</si>
  <si>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</si>
  <si>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</si>
  <si>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</si>
  <si>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</si>
  <si>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</si>
  <si>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</si>
  <si>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</si>
  <si>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</si>
  <si>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</si>
  <si>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</si>
  <si>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</si>
  <si>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</si>
  <si>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</si>
  <si>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</si>
  <si>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</si>
  <si>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</si>
  <si>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</si>
  <si>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</si>
  <si>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</si>
  <si>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</si>
  <si>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</si>
  <si>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</si>
  <si>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</si>
  <si>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</si>
  <si>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</si>
  <si>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</si>
  <si>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</si>
  <si>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</si>
  <si>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</si>
  <si>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</si>
  <si>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</si>
  <si>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</si>
  <si>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</si>
  <si>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</si>
  <si>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</si>
  <si>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</si>
  <si>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</si>
  <si>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</si>
  <si>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</si>
  <si>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</si>
  <si>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</si>
  <si>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</si>
  <si>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</si>
  <si>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</si>
  <si>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</si>
  <si>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</si>
  <si>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</si>
  <si>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</si>
  <si>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</si>
  <si>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</si>
  <si>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</si>
  <si>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</si>
  <si>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</si>
  <si>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</si>
  <si>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</si>
  <si>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</si>
  <si>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</si>
  <si>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</si>
  <si>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</si>
  <si>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</si>
  <si>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</si>
  <si>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</si>
  <si>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</si>
  <si>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</si>
  <si>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</si>
  <si>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</si>
  <si>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</si>
  <si>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</si>
  <si>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</si>
  <si>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</si>
  <si>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</si>
  <si>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</si>
  <si>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</si>
  <si>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</si>
  <si>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</si>
  <si>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</si>
  <si>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</si>
  <si>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</si>
  <si>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</si>
  <si>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</si>
  <si>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</si>
  <si>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</si>
  <si>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</si>
  <si>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</si>
  <si>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</si>
  <si>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</si>
  <si>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</si>
  <si>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</si>
  <si>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</si>
  <si>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</si>
  <si>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</si>
  <si>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</si>
  <si>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</si>
  <si>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</si>
  <si>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</si>
  <si>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</si>
  <si>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</si>
  <si>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</si>
  <si>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</si>
  <si>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</si>
  <si>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</si>
  <si>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</si>
  <si>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</si>
  <si>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</si>
  <si>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</si>
  <si>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</si>
  <si>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</si>
  <si>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</si>
  <si>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</si>
  <si>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</si>
  <si>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</si>
  <si>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</si>
  <si>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</si>
  <si>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</si>
  <si>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</si>
  <si>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</si>
  <si>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</si>
  <si>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</si>
  <si>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</si>
  <si>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</si>
  <si>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</si>
  <si>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</si>
  <si>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</si>
  <si>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</si>
  <si>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</si>
  <si>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</si>
  <si>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</si>
  <si>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</si>
  <si>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</si>
  <si>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</si>
  <si>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</si>
  <si>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</si>
  <si>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</si>
  <si>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</si>
  <si>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</si>
  <si>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</si>
  <si>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</si>
  <si>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</si>
  <si>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</si>
  <si>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</si>
  <si>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</si>
  <si>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</si>
  <si>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</si>
  <si>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</si>
  <si>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</si>
  <si>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</si>
  <si>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</si>
  <si>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</si>
  <si>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</si>
  <si>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</si>
  <si>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</si>
  <si>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</si>
  <si>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</si>
  <si>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</si>
  <si>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</si>
  <si>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</si>
  <si>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</si>
  <si>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</si>
  <si>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</si>
  <si>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</si>
  <si>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</si>
  <si>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</si>
  <si>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</si>
  <si>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</si>
  <si>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</si>
  <si>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</si>
  <si>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</si>
  <si>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</si>
  <si>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</si>
  <si>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</si>
  <si>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</si>
  <si>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</si>
  <si>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</si>
  <si>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</si>
  <si>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</si>
  <si>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</si>
  <si>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</si>
  <si>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</si>
  <si>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</si>
  <si>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</si>
  <si>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</si>
  <si>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</si>
  <si>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</si>
  <si>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</si>
  <si>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</si>
  <si>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</si>
  <si>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</si>
  <si>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</si>
  <si>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</si>
  <si>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</si>
  <si>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</si>
  <si>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</si>
  <si>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</si>
  <si>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</si>
  <si>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</si>
  <si>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</si>
  <si>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</si>
  <si>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</si>
  <si>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</si>
  <si>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</si>
  <si>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</si>
  <si>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</si>
  <si>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</si>
  <si>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</si>
  <si>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</si>
  <si>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</si>
  <si>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</si>
  <si>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</si>
  <si>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</si>
  <si>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</si>
  <si>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</si>
  <si>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</si>
  <si>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</si>
  <si>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</si>
  <si>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</si>
  <si>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</si>
  <si>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</si>
  <si>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</si>
  <si>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</si>
  <si>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</si>
  <si>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</si>
  <si>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</si>
  <si>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</si>
  <si>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</si>
  <si>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</si>
  <si>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</si>
  <si>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</si>
  <si>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</si>
  <si>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</si>
  <si>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</si>
  <si>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</si>
  <si>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</si>
  <si>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</si>
  <si>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</si>
  <si>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</si>
  <si>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</si>
  <si>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</si>
  <si>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</si>
  <si>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</si>
  <si>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</si>
  <si>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</si>
  <si>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</si>
  <si>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</si>
  <si>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</si>
  <si>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</si>
  <si>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</si>
  <si>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</si>
  <si>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</si>
  <si>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</si>
  <si>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</si>
  <si>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</si>
  <si>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</si>
  <si>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</si>
  <si>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</si>
  <si>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</si>
  <si>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</si>
  <si>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</si>
  <si>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</si>
  <si>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</si>
  <si>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</si>
  <si>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</si>
  <si>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</si>
  <si>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</si>
  <si>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</si>
  <si>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</si>
  <si>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</si>
  <si>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</si>
  <si>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</si>
  <si>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</si>
  <si>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</si>
  <si>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</si>
  <si>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</si>
  <si>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</si>
  <si>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</si>
  <si>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</si>
  <si>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</si>
  <si>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</si>
  <si>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</si>
  <si>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</si>
  <si>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</si>
  <si>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</si>
  <si>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</si>
  <si>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</si>
  <si>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</si>
  <si>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</si>
  <si>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</si>
  <si>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</si>
  <si>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</si>
  <si>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</si>
  <si>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</si>
  <si>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</si>
  <si>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</si>
  <si>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</si>
  <si>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</si>
  <si>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</si>
  <si>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</si>
  <si>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</si>
  <si>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</si>
  <si>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</si>
  <si>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</si>
  <si>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</si>
  <si>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</si>
  <si>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</si>
  <si>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</si>
  <si>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</si>
  <si>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</si>
  <si>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</si>
  <si>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</si>
  <si>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</si>
  <si>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</si>
  <si>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</si>
  <si>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</si>
  <si>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</si>
  <si>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</si>
  <si>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</si>
  <si>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</si>
  <si>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</si>
  <si>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</si>
  <si>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</si>
  <si>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</si>
  <si>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</si>
  <si>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</si>
  <si>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</si>
  <si>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</si>
  <si>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</si>
  <si>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</si>
  <si>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</si>
  <si>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</si>
  <si>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</si>
  <si>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</si>
  <si>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</si>
  <si>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</si>
  <si>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</si>
  <si>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</si>
  <si>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</si>
  <si>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</si>
  <si>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</si>
  <si>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</si>
  <si>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</si>
  <si>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</si>
  <si>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</si>
  <si>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</si>
  <si>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</si>
  <si>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</si>
  <si>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</si>
  <si>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</si>
  <si>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</si>
  <si>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</si>
  <si>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</si>
  <si>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</si>
  <si>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</si>
  <si>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</si>
  <si>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</si>
  <si>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</si>
  <si>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</si>
  <si>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</si>
  <si>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</si>
  <si>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</si>
  <si>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</si>
  <si>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</si>
  <si>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</si>
  <si>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</si>
  <si>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</si>
  <si>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</si>
  <si>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</si>
  <si>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</si>
  <si>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</si>
  <si>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</si>
  <si>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</si>
  <si>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</si>
  <si>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</si>
  <si>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</si>
  <si>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</si>
  <si>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</si>
  <si>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</si>
  <si>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</si>
  <si>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</si>
  <si>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</si>
  <si>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</si>
  <si>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</si>
  <si>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</si>
  <si>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</si>
  <si>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</si>
  <si>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</si>
  <si>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</si>
  <si>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</si>
  <si>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</si>
  <si>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</si>
  <si>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</si>
  <si>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</si>
  <si>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</si>
  <si>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</si>
  <si>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</si>
  <si>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</si>
  <si>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</si>
  <si>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</si>
  <si>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</si>
  <si>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</si>
  <si>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</si>
  <si>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</si>
  <si>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</si>
  <si>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</si>
  <si>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</si>
  <si>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</si>
  <si>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</si>
  <si>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</si>
  <si>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</si>
  <si>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</si>
  <si>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</si>
  <si>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</si>
  <si>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</si>
  <si>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</si>
  <si>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</si>
  <si>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</si>
  <si>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</si>
  <si>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</si>
  <si>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</si>
  <si>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</si>
  <si>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</si>
  <si>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</si>
  <si>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</si>
  <si>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</si>
  <si>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</si>
  <si>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</si>
  <si>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</si>
  <si>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</si>
  <si>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</si>
  <si>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</si>
  <si>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</si>
  <si>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</si>
  <si>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</si>
  <si>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</si>
  <si>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</si>
  <si>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</si>
  <si>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</si>
  <si>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</si>
  <si>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</si>
  <si>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</si>
  <si>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</si>
  <si>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</si>
  <si>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</si>
  <si>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</si>
  <si>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</si>
  <si>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</si>
  <si>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</si>
  <si>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</si>
  <si>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</si>
  <si>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</si>
  <si>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</si>
  <si>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</si>
  <si>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</si>
  <si>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</si>
  <si>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</si>
  <si>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</si>
  <si>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</si>
  <si>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</si>
  <si>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</si>
  <si>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</si>
  <si>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</si>
  <si>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</si>
  <si>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</si>
  <si>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</si>
  <si>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</si>
  <si>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</si>
  <si>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</si>
  <si>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</si>
  <si>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</si>
  <si>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</si>
  <si>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</si>
  <si>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</si>
  <si>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</si>
  <si>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</si>
  <si>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</si>
  <si>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</si>
  <si>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</si>
  <si>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</si>
  <si>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</si>
  <si>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</si>
  <si>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</si>
  <si>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</si>
  <si>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</si>
  <si>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</si>
  <si>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</si>
  <si>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</si>
  <si>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</si>
  <si>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</si>
  <si>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</si>
  <si>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</si>
  <si>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</si>
  <si>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</si>
  <si>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</si>
  <si>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</si>
  <si>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</si>
  <si>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</si>
  <si>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</si>
  <si>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</si>
  <si>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</si>
  <si>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</si>
  <si>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</si>
  <si>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</si>
  <si>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</si>
  <si>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</si>
  <si>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</si>
  <si>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</si>
  <si>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</si>
  <si>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</si>
  <si>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</si>
  <si>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</si>
  <si>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</si>
  <si>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</si>
  <si>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</si>
  <si>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</si>
  <si>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</si>
  <si>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</si>
  <si>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</si>
  <si>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</si>
  <si>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</si>
  <si>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</si>
  <si>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</si>
  <si>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</si>
  <si>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</si>
  <si>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</si>
  <si>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</si>
  <si>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</si>
  <si>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</si>
  <si>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</si>
  <si>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</si>
  <si>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</si>
  <si>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</si>
  <si>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</si>
  <si>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</si>
  <si>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</si>
  <si>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</si>
  <si>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</si>
  <si>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</si>
  <si>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</si>
  <si>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</si>
  <si>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</si>
  <si>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</si>
  <si>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</si>
  <si>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</si>
  <si>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</si>
  <si>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</si>
  <si>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</si>
  <si>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</si>
  <si>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</si>
  <si>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</si>
  <si>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</si>
  <si>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</si>
  <si>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</si>
  <si>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</si>
  <si>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</si>
  <si>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</si>
  <si>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</si>
  <si>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</si>
  <si>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</si>
  <si>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</si>
  <si>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</si>
  <si>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</si>
  <si>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</si>
  <si>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</si>
  <si>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</si>
  <si>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</si>
  <si>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</si>
  <si>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</si>
  <si>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</si>
  <si>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</si>
  <si>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</si>
  <si>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</si>
  <si>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</si>
  <si>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</si>
  <si>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</si>
  <si>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</si>
  <si>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</si>
  <si>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</si>
  <si>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</si>
  <si>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</si>
  <si>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</si>
  <si>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</si>
  <si>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</si>
  <si>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</si>
  <si>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</si>
  <si>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</si>
  <si>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</si>
  <si>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</si>
  <si>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</si>
  <si>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</si>
  <si>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</si>
  <si>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</si>
  <si>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</si>
  <si>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</si>
  <si>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</si>
  <si>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</si>
  <si>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</si>
  <si>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</si>
  <si>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</si>
  <si>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</si>
  <si>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</si>
  <si>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</si>
  <si>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</si>
  <si>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</si>
  <si>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</si>
  <si>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</si>
  <si>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</si>
  <si>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</si>
  <si>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</si>
  <si>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</si>
  <si>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</si>
  <si>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</si>
  <si>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</si>
  <si>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</si>
  <si>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</si>
  <si>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</si>
  <si>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</si>
  <si>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</si>
  <si>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</si>
  <si>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</si>
  <si>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</si>
  <si>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</si>
  <si>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</si>
  <si>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</si>
  <si>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</si>
  <si>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</si>
  <si>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</si>
  <si>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</si>
  <si>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</si>
  <si>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</si>
  <si>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</si>
  <si>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</si>
  <si>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</si>
  <si>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</si>
  <si>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</si>
  <si>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</si>
  <si>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</si>
  <si>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</si>
  <si>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</si>
  <si>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</si>
  <si>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</si>
  <si>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</si>
  <si>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</si>
  <si>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</si>
  <si>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</si>
  <si>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</si>
  <si>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</si>
  <si>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</si>
  <si>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</si>
  <si>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</si>
  <si>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</si>
  <si>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</si>
  <si>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</si>
  <si>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</si>
  <si>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</si>
  <si>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</si>
  <si>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</si>
  <si>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</si>
  <si>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</si>
  <si>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</si>
  <si>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</si>
  <si>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</si>
  <si>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</si>
  <si>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</si>
  <si>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</si>
  <si>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</si>
  <si>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</si>
  <si>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</si>
  <si>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</si>
  <si>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</si>
  <si>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</si>
  <si>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</si>
  <si>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</si>
  <si>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</si>
  <si>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</si>
  <si>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</si>
  <si>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</si>
  <si>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</si>
  <si>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</si>
  <si>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</si>
  <si>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</si>
  <si>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</si>
  <si>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</si>
  <si>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</si>
  <si>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</si>
  <si>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</si>
  <si>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</si>
  <si>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</si>
  <si>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</si>
  <si>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</si>
  <si>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</si>
  <si>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</si>
  <si>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</si>
  <si>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</si>
  <si>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</si>
  <si>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</si>
  <si>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</si>
  <si>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</si>
  <si>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</si>
  <si>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</si>
  <si>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</si>
  <si>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</si>
  <si>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</si>
  <si>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</si>
  <si>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</si>
  <si>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</si>
  <si>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</si>
  <si>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</si>
  <si>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</si>
  <si>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</si>
  <si>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</si>
  <si>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</si>
  <si>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</si>
  <si>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</si>
  <si>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</si>
  <si>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</si>
  <si>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</si>
  <si>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</si>
  <si>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</si>
  <si>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</si>
  <si>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</si>
  <si>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</si>
  <si>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</si>
  <si>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</si>
  <si>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</si>
  <si>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</si>
  <si>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</si>
  <si>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</si>
  <si>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</si>
  <si>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</si>
  <si>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</si>
  <si>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</si>
  <si>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</si>
  <si>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</si>
  <si>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</si>
  <si>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</si>
  <si>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</si>
  <si>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</si>
  <si>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</si>
  <si>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</si>
  <si>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</si>
  <si>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</si>
  <si>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</si>
  <si>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</si>
  <si>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</si>
  <si>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</si>
  <si>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</si>
  <si>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</si>
  <si>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</si>
  <si>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</si>
  <si>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</si>
  <si>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Al 31 de diciembre de 2018 y al 31 de diciembre de 2019 (b)</t>
  </si>
  <si>
    <t>Del 1 de enero al 31 de diciembre de 2019 (b)</t>
  </si>
  <si>
    <t>JUNTA DE AGUA POTABLE DRENAJE ALCANTARILLADO Y SANEAMIENTO DEL MUNICIPIO DE IRAPUATO GTO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</si>
  <si>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</si>
  <si>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</si>
  <si>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</si>
  <si>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</si>
  <si>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</si>
  <si>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</si>
  <si>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</si>
  <si>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</si>
  <si>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</si>
  <si>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</si>
  <si>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</si>
  <si>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</si>
  <si>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</si>
  <si>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</si>
  <si>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</si>
  <si>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</si>
  <si>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MANTENIMIENTO DEL PARQUE VEHICULAR</t>
  </si>
  <si>
    <t>COMBUSTIBLES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</si>
  <si>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</si>
  <si>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</si>
  <si>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</si>
  <si>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</si>
  <si>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</si>
  <si>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</si>
  <si>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</si>
  <si>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</si>
  <si>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AGUA POTABLE</t>
  </si>
  <si>
    <t>DISTRITO 1</t>
  </si>
  <si>
    <t>DISTRITO 2</t>
  </si>
  <si>
    <t>DISTRITO 3</t>
  </si>
  <si>
    <t>OPERACION DE PIPAS</t>
  </si>
  <si>
    <t>MANTENIMIENTO DE DRENAJE</t>
  </si>
  <si>
    <t>OPTIMIZACION DE AGUA</t>
  </si>
  <si>
    <t>OPERACION Y MANTENIMIENTO DE REDES Y CARCAMOS</t>
  </si>
  <si>
    <t>OPERACION Y MANTTO DE POZOS</t>
  </si>
  <si>
    <t>DRENAJE Y ALCANTARILLADO</t>
  </si>
  <si>
    <t>OPERACION DE CARCAMOS</t>
  </si>
  <si>
    <t>MANTENIMIENTO ELECTROMECANICO CARCAMOS</t>
  </si>
  <si>
    <t>MANTENIMIENTO CANALES</t>
  </si>
  <si>
    <t>OPERACIÓN DE REDES DE DISTRIBUCION</t>
  </si>
  <si>
    <t xml:space="preserve">MANTENIMIENTO DE REDES </t>
  </si>
  <si>
    <t>GERENCIA DE INGENIERIA Y DISEÑO</t>
  </si>
  <si>
    <t>AREA DE PROYECTOS</t>
  </si>
  <si>
    <t>CONSTRUCCION DE OBRAS</t>
  </si>
  <si>
    <t>COSTOS</t>
  </si>
  <si>
    <t>SUPERVISION DE OBRA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</si>
  <si>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</si>
  <si>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</si>
  <si>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</si>
  <si>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</si>
  <si>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</si>
  <si>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</si>
  <si>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OPERACIÓN DE LA PTAR</t>
  </si>
  <si>
    <t>MANTENIMIENTO ELECTROMECANICO PTAR</t>
  </si>
  <si>
    <t>OPERACION DE PLANTAS POTABILIZADORAS</t>
  </si>
  <si>
    <t>REMANENTES DE EJERCICIOS ANTERIORES</t>
  </si>
  <si>
    <t>PARTICIPACIONES RECIBIDAS EJERCICIO ANTERIOR</t>
  </si>
  <si>
    <t>PARTICIPACIONES POR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</si>
</sst>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6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43" fontId="1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0" fillId="0" borderId="13" xfId="7" applyNumberFormat="1" applyFont="1" applyFill="1" applyBorder="1" applyAlignment="1" applyProtection="1">
      <alignment vertical="center"/>
      <protection locked="0"/>
    </xf>
    <xf numFmtId="43" fontId="18" fillId="0" borderId="0" xfId="7" applyFont="1" applyFill="1" applyBorder="1" applyProtection="1"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8" applyNumberFormat="1" applyFont="1" applyFill="1" applyBorder="1" applyAlignment="1" applyProtection="1">
      <alignment vertical="top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65">
    <cellStyle name="Hipervínculo" xfId="1" builtinId="8" hidden="1"/>
    <cellStyle name="Hipervínculo" xfId="3" builtinId="8" hidden="1"/>
    <cellStyle name="Hipervínculo" xfId="5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Millares" xfId="7" builtinId="3"/>
    <cellStyle name="Millares 2" xf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3" t="s">
        <v>829</v>
      </c>
      <c r="B1" s="154"/>
      <c r="C1" s="154"/>
      <c r="D1" s="154"/>
      <c r="E1" s="155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792</v>
      </c>
      <c r="C3" s="156" t="s">
        <v>3304</v>
      </c>
      <c r="D3" s="156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795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796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793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workbookViewId="0">
      <selection activeCell="B15" sqref="B1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9" t="s">
        <v>542</v>
      </c>
      <c r="B1" s="169"/>
      <c r="C1" s="169"/>
      <c r="D1" s="169"/>
      <c r="E1" s="111"/>
      <c r="F1" s="111"/>
      <c r="G1" s="111"/>
      <c r="H1" s="111"/>
      <c r="I1" s="111"/>
      <c r="J1" s="111"/>
      <c r="K1" s="111"/>
    </row>
    <row r="2" spans="1:11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9"/>
    </row>
    <row r="3" spans="1:11" x14ac:dyDescent="0.25">
      <c r="A3" s="160" t="s">
        <v>166</v>
      </c>
      <c r="B3" s="161"/>
      <c r="C3" s="161"/>
      <c r="D3" s="162"/>
    </row>
    <row r="4" spans="1:11" x14ac:dyDescent="0.25">
      <c r="A4" s="163" t="str">
        <f>TRIMESTRE</f>
        <v>Del 1 de enero al 31 de diciembre de 2019 (b)</v>
      </c>
      <c r="B4" s="164"/>
      <c r="C4" s="164"/>
      <c r="D4" s="165"/>
    </row>
    <row r="5" spans="1:11" x14ac:dyDescent="0.25">
      <c r="A5" s="166" t="s">
        <v>118</v>
      </c>
      <c r="B5" s="167"/>
      <c r="C5" s="167"/>
      <c r="D5" s="168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586603556.60000002</v>
      </c>
      <c r="C8" s="40">
        <f t="shared" ref="C8:D8" si="0">SUM(C9:C11)</f>
        <v>572731169.04999995</v>
      </c>
      <c r="D8" s="40">
        <f t="shared" si="0"/>
        <v>572731169.04999995</v>
      </c>
    </row>
    <row r="9" spans="1:11" x14ac:dyDescent="0.25">
      <c r="A9" s="53" t="s">
        <v>169</v>
      </c>
      <c r="B9" s="23">
        <v>449901727.80000001</v>
      </c>
      <c r="C9" s="23">
        <v>473131306.56</v>
      </c>
      <c r="D9" s="23">
        <v>473131306.56</v>
      </c>
    </row>
    <row r="10" spans="1:11" x14ac:dyDescent="0.25">
      <c r="A10" s="53" t="s">
        <v>170</v>
      </c>
      <c r="B10" s="23">
        <v>136701828.80000001</v>
      </c>
      <c r="C10" s="23">
        <v>99599862.489999995</v>
      </c>
      <c r="D10" s="23">
        <v>99599862.489999995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586603556.6339047</v>
      </c>
      <c r="C13" s="40">
        <f t="shared" ref="C13:D13" si="2">C14+C15</f>
        <v>429748148.17000002</v>
      </c>
      <c r="D13" s="40">
        <f t="shared" si="2"/>
        <v>429748148.17000002</v>
      </c>
    </row>
    <row r="14" spans="1:11" x14ac:dyDescent="0.25">
      <c r="A14" s="53" t="s">
        <v>172</v>
      </c>
      <c r="B14" s="23">
        <v>449901727.83390468</v>
      </c>
      <c r="C14" s="23">
        <v>345089817.73000002</v>
      </c>
      <c r="D14" s="23">
        <v>345089817.73000002</v>
      </c>
    </row>
    <row r="15" spans="1:11" x14ac:dyDescent="0.25">
      <c r="A15" s="53" t="s">
        <v>173</v>
      </c>
      <c r="B15" s="23">
        <v>136701828.80000001</v>
      </c>
      <c r="C15" s="23">
        <v>84658330.439999998</v>
      </c>
      <c r="D15" s="23">
        <v>84658330.439999998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147024073.63</v>
      </c>
      <c r="D17" s="40">
        <f>D18+D19</f>
        <v>147024073.63</v>
      </c>
    </row>
    <row r="18" spans="1:4" x14ac:dyDescent="0.25">
      <c r="A18" s="53" t="s">
        <v>175</v>
      </c>
      <c r="B18" s="119">
        <v>0</v>
      </c>
      <c r="C18" s="23">
        <v>116164204.78</v>
      </c>
      <c r="D18" s="23">
        <v>116164204.78</v>
      </c>
    </row>
    <row r="19" spans="1:4" x14ac:dyDescent="0.25">
      <c r="A19" s="53" t="s">
        <v>176</v>
      </c>
      <c r="B19" s="119">
        <v>0</v>
      </c>
      <c r="C19" s="23">
        <v>30859868.850000001</v>
      </c>
      <c r="D19" s="117">
        <v>30859868.850000001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-3.3904671669006348E-2</v>
      </c>
      <c r="C21" s="40">
        <f t="shared" ref="C21:D21" si="4">C8-C13+C17</f>
        <v>290007094.50999993</v>
      </c>
      <c r="D21" s="40">
        <f t="shared" si="4"/>
        <v>290007094.50999993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-3.3904671669006348E-2</v>
      </c>
      <c r="C23" s="40">
        <f t="shared" ref="C23:D23" si="5">C21-C11</f>
        <v>290007094.50999993</v>
      </c>
      <c r="D23" s="40">
        <f t="shared" si="5"/>
        <v>290007094.50999993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-3.3904671669006348E-2</v>
      </c>
      <c r="C25" s="40">
        <f t="shared" ref="C25" si="6">C23-C17</f>
        <v>142983020.87999994</v>
      </c>
      <c r="D25" s="40">
        <f>D23-D17</f>
        <v>142983020.87999994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-3.3904671669006348E-2</v>
      </c>
      <c r="C33" s="61">
        <f t="shared" ref="C33:D33" si="8">C25+C29</f>
        <v>142983020.87999994</v>
      </c>
      <c r="D33" s="61">
        <f t="shared" si="8"/>
        <v>142983020.87999994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449901727.80000001</v>
      </c>
      <c r="C48" s="124">
        <f>C9</f>
        <v>473131306.56</v>
      </c>
      <c r="D48" s="124">
        <f t="shared" ref="D48" si="12">D9</f>
        <v>473131306.56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1</v>
      </c>
      <c r="D50" s="60">
        <v>1</v>
      </c>
    </row>
    <row r="51" spans="1:4" x14ac:dyDescent="0.25">
      <c r="A51" s="128" t="s">
        <v>195</v>
      </c>
      <c r="B51" s="60">
        <v>0</v>
      </c>
      <c r="C51" s="60">
        <v>1</v>
      </c>
      <c r="D51" s="60">
        <v>1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449901727.83390468</v>
      </c>
      <c r="C53" s="60">
        <f t="shared" ref="C53:D53" si="14">C14</f>
        <v>345089817.73000002</v>
      </c>
      <c r="D53" s="60">
        <f t="shared" si="14"/>
        <v>345089817.73000002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116164204.78</v>
      </c>
      <c r="D55" s="60">
        <f t="shared" si="15"/>
        <v>116164204.78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-3.3904671669006348E-2</v>
      </c>
      <c r="C57" s="61">
        <f>C48+C49-C53+C55</f>
        <v>244205693.60999998</v>
      </c>
      <c r="D57" s="61">
        <f t="shared" ref="D57" si="16">D48+D49-D53+D55</f>
        <v>244205693.60999998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-3.3904671669006348E-2</v>
      </c>
      <c r="C59" s="61">
        <f t="shared" ref="C59:D59" si="17">C57-C49</f>
        <v>244205693.60999998</v>
      </c>
      <c r="D59" s="61">
        <f t="shared" si="17"/>
        <v>244205693.60999998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136701828.80000001</v>
      </c>
      <c r="C63" s="122">
        <f t="shared" ref="C63:D63" si="18">C10</f>
        <v>99599862.489999995</v>
      </c>
      <c r="D63" s="122">
        <f t="shared" si="18"/>
        <v>99599862.489999995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1</v>
      </c>
      <c r="D65" s="23">
        <v>1</v>
      </c>
    </row>
    <row r="66" spans="1:4" x14ac:dyDescent="0.25">
      <c r="A66" s="128" t="s">
        <v>196</v>
      </c>
      <c r="B66" s="23">
        <v>0</v>
      </c>
      <c r="C66" s="23">
        <v>1</v>
      </c>
      <c r="D66" s="23">
        <v>1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136701828.80000001</v>
      </c>
      <c r="C68" s="23">
        <f t="shared" ref="C68:D68" si="20">C15</f>
        <v>84658330.439999998</v>
      </c>
      <c r="D68" s="23">
        <f t="shared" si="20"/>
        <v>84658330.439999998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30859868.850000001</v>
      </c>
      <c r="D70" s="23">
        <f t="shared" si="21"/>
        <v>30859868.850000001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45801400.899999999</v>
      </c>
      <c r="D72" s="40">
        <f t="shared" si="22"/>
        <v>45801400.899999999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45801400.899999999</v>
      </c>
      <c r="D74" s="40">
        <f t="shared" ref="D74" si="23">D72-D64</f>
        <v>45801400.899999999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586603556.60000002</v>
      </c>
      <c r="Q2" s="18">
        <f>'Formato 4'!C8</f>
        <v>572731169.04999995</v>
      </c>
      <c r="R2" s="18">
        <f>'Formato 4'!D8</f>
        <v>572731169.04999995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449901727.80000001</v>
      </c>
      <c r="Q3" s="18">
        <f>'Formato 4'!C9</f>
        <v>473131306.56</v>
      </c>
      <c r="R3" s="18">
        <f>'Formato 4'!D9</f>
        <v>473131306.56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136701828.80000001</v>
      </c>
      <c r="Q4" s="18">
        <f>'Formato 4'!C10</f>
        <v>99599862.489999995</v>
      </c>
      <c r="R4" s="18">
        <f>'Formato 4'!D10</f>
        <v>99599862.489999995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586603556.6339047</v>
      </c>
      <c r="Q6" s="18">
        <f>'Formato 4'!C13</f>
        <v>429748148.17000002</v>
      </c>
      <c r="R6" s="18">
        <f>'Formato 4'!D13</f>
        <v>429748148.17000002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449901727.83390468</v>
      </c>
      <c r="Q7" s="18">
        <f>'Formato 4'!C14</f>
        <v>345089817.73000002</v>
      </c>
      <c r="R7" s="18">
        <f>'Formato 4'!D14</f>
        <v>345089817.73000002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136701828.80000001</v>
      </c>
      <c r="Q8" s="18">
        <f>'Formato 4'!C15</f>
        <v>84658330.439999998</v>
      </c>
      <c r="R8" s="18">
        <f>'Formato 4'!D15</f>
        <v>84658330.439999998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147024073.63</v>
      </c>
      <c r="R9" s="18">
        <f>'Formato 4'!D17</f>
        <v>147024073.63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116164204.78</v>
      </c>
      <c r="R10" s="18">
        <f>'Formato 4'!D18</f>
        <v>116164204.78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30859868.850000001</v>
      </c>
      <c r="R11" s="18">
        <f>'Formato 4'!D19</f>
        <v>30859868.850000001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-3.3904671669006348E-2</v>
      </c>
      <c r="Q12" s="18">
        <f>'Formato 4'!C21</f>
        <v>290007094.50999993</v>
      </c>
      <c r="R12" s="18">
        <f>'Formato 4'!D21</f>
        <v>290007094.50999993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-3.3904671669006348E-2</v>
      </c>
      <c r="Q13" s="18">
        <f>'Formato 4'!C23</f>
        <v>290007094.50999993</v>
      </c>
      <c r="R13" s="18">
        <f>'Formato 4'!D23</f>
        <v>290007094.50999993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-3.3904671669006348E-2</v>
      </c>
      <c r="Q14" s="18">
        <f>'Formato 4'!C25</f>
        <v>142983020.87999994</v>
      </c>
      <c r="R14" s="18">
        <f>'Formato 4'!D25</f>
        <v>142983020.87999994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-3.3904671669006348E-2</v>
      </c>
      <c r="Q18">
        <f>'Formato 4'!C33</f>
        <v>142983020.87999994</v>
      </c>
      <c r="R18">
        <f>'Formato 4'!D33</f>
        <v>142983020.87999994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449901727.80000001</v>
      </c>
      <c r="Q26">
        <f>'Formato 4'!C48</f>
        <v>473131306.56</v>
      </c>
      <c r="R26">
        <f>'Formato 4'!D48</f>
        <v>473131306.56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1</v>
      </c>
      <c r="R28">
        <f>'Formato 4'!D50</f>
        <v>1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1</v>
      </c>
      <c r="R29">
        <f>'Formato 4'!D51</f>
        <v>1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449901727.83390468</v>
      </c>
      <c r="Q30">
        <f>'Formato 4'!C53</f>
        <v>345089817.73000002</v>
      </c>
      <c r="R30">
        <f>'Formato 4'!D53</f>
        <v>345089817.73000002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116164204.78</v>
      </c>
      <c r="R31">
        <f>'Formato 4'!D55</f>
        <v>116164204.78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136701828.80000001</v>
      </c>
      <c r="Q32">
        <f>'Formato 4'!C63</f>
        <v>99599862.489999995</v>
      </c>
      <c r="R32">
        <f>'Formato 4'!D63</f>
        <v>99599862.489999995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1</v>
      </c>
      <c r="R34">
        <f>'Formato 4'!D65</f>
        <v>1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1</v>
      </c>
      <c r="R35">
        <f>'Formato 4'!D66</f>
        <v>1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136701828.80000001</v>
      </c>
      <c r="Q36">
        <f>'Formato 4'!C68</f>
        <v>84658330.439999998</v>
      </c>
      <c r="R36">
        <f>'Formato 4'!D68</f>
        <v>84658330.439999998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30859868.850000001</v>
      </c>
      <c r="R37">
        <f>'Formato 4'!D70</f>
        <v>30859868.850000001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45801400.899999999</v>
      </c>
      <c r="R38">
        <f>'Formato 4'!D72</f>
        <v>45801400.899999999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45801400.899999999</v>
      </c>
      <c r="R39">
        <f>'Formato 4'!D74</f>
        <v>45801400.899999999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zoomScale="85" zoomScaleNormal="85" zoomScalePageLayoutView="85" workbookViewId="0">
      <selection activeCell="B18" sqref="B18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5" t="s">
        <v>206</v>
      </c>
      <c r="B1" s="175"/>
      <c r="C1" s="175"/>
      <c r="D1" s="175"/>
      <c r="E1" s="175"/>
      <c r="F1" s="175"/>
      <c r="G1" s="175"/>
    </row>
    <row r="2" spans="1:8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8" x14ac:dyDescent="0.25">
      <c r="A3" s="160" t="s">
        <v>207</v>
      </c>
      <c r="B3" s="161"/>
      <c r="C3" s="161"/>
      <c r="D3" s="161"/>
      <c r="E3" s="161"/>
      <c r="F3" s="161"/>
      <c r="G3" s="162"/>
    </row>
    <row r="4" spans="1:8" x14ac:dyDescent="0.25">
      <c r="A4" s="163" t="str">
        <f>TRIMESTRE</f>
        <v>Del 1 de enero al 31 de diciembre de 2019 (b)</v>
      </c>
      <c r="B4" s="164"/>
      <c r="C4" s="164"/>
      <c r="D4" s="164"/>
      <c r="E4" s="164"/>
      <c r="F4" s="164"/>
      <c r="G4" s="165"/>
    </row>
    <row r="5" spans="1:8" x14ac:dyDescent="0.25">
      <c r="A5" s="166" t="s">
        <v>118</v>
      </c>
      <c r="B5" s="167"/>
      <c r="C5" s="167"/>
      <c r="D5" s="167"/>
      <c r="E5" s="167"/>
      <c r="F5" s="167"/>
      <c r="G5" s="168"/>
    </row>
    <row r="6" spans="1:8" x14ac:dyDescent="0.25">
      <c r="A6" s="172" t="s">
        <v>214</v>
      </c>
      <c r="B6" s="174" t="s">
        <v>208</v>
      </c>
      <c r="C6" s="174"/>
      <c r="D6" s="174"/>
      <c r="E6" s="174"/>
      <c r="F6" s="174"/>
      <c r="G6" s="174" t="s">
        <v>209</v>
      </c>
    </row>
    <row r="7" spans="1:8" ht="30" x14ac:dyDescent="0.25">
      <c r="A7" s="173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4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2194221.4074999997</v>
      </c>
      <c r="C11" s="60">
        <v>25862943.02</v>
      </c>
      <c r="D11" s="60">
        <f>+B11+C11</f>
        <v>28057164.427499998</v>
      </c>
      <c r="E11" s="60">
        <v>10193326.83</v>
      </c>
      <c r="F11" s="60">
        <v>10193326.83</v>
      </c>
      <c r="G11" s="60">
        <f t="shared" si="0"/>
        <v>7999105.4225000003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27136831.210000001</v>
      </c>
      <c r="C13" s="60">
        <v>0</v>
      </c>
      <c r="D13" s="60">
        <f>+B13+C13</f>
        <v>27136831.210000001</v>
      </c>
      <c r="E13" s="60">
        <v>32872879.5</v>
      </c>
      <c r="F13" s="60">
        <v>32872879.5</v>
      </c>
      <c r="G13" s="60">
        <f t="shared" si="0"/>
        <v>5736048.2899999991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420570675.21565235</v>
      </c>
      <c r="C15" s="60">
        <v>297592059.19999999</v>
      </c>
      <c r="D15" s="60">
        <f>+B15+C15</f>
        <v>718162734.41565228</v>
      </c>
      <c r="E15" s="60">
        <v>690074521.89999998</v>
      </c>
      <c r="F15" s="60">
        <v>690074521.89999998</v>
      </c>
      <c r="G15" s="60">
        <f t="shared" si="0"/>
        <v>269503846.68434763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0</v>
      </c>
      <c r="D35" s="60">
        <f t="shared" si="5"/>
        <v>0</v>
      </c>
      <c r="E35" s="60">
        <v>0</v>
      </c>
      <c r="F35" s="60">
        <f t="shared" si="5"/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449901727.83315235</v>
      </c>
      <c r="C41" s="61">
        <f t="shared" ref="C41:E41" si="7">SUM(C9,C10,C11,C12,C13,C14,C15,C16,C28,C34,C35,C37)</f>
        <v>323455002.21999997</v>
      </c>
      <c r="D41" s="61">
        <f t="shared" si="7"/>
        <v>773356730.05315232</v>
      </c>
      <c r="E41" s="61">
        <f t="shared" si="7"/>
        <v>733140728.23000002</v>
      </c>
      <c r="F41" s="61">
        <f>SUM(F9,F10,F11,F12,F13,F14,F15,F16,F28,F34,F35,F37)</f>
        <v>733140728.23000002</v>
      </c>
      <c r="G41" s="61">
        <f>SUM(G9,G10,G11,G12,G13,G14,G15,G16,G28,G34,G35,G37)</f>
        <v>283239000.39684761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283239000.39684761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8">SUM(C46:C53)</f>
        <v>0</v>
      </c>
      <c r="D45" s="60">
        <f t="shared" si="8"/>
        <v>0</v>
      </c>
      <c r="E45" s="60">
        <f t="shared" si="8"/>
        <v>0</v>
      </c>
      <c r="F45" s="60">
        <f t="shared" si="8"/>
        <v>0</v>
      </c>
      <c r="G45" s="60">
        <f t="shared" si="8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9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0</v>
      </c>
      <c r="D54" s="60">
        <f t="shared" si="10"/>
        <v>0</v>
      </c>
      <c r="E54" s="60">
        <f t="shared" si="10"/>
        <v>0</v>
      </c>
      <c r="F54" s="60">
        <f t="shared" si="10"/>
        <v>0</v>
      </c>
      <c r="G54" s="60">
        <f t="shared" si="10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1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136701828.80000001</v>
      </c>
      <c r="C62" s="60">
        <v>38863989.130000003</v>
      </c>
      <c r="D62" s="60">
        <f>+B62+C62</f>
        <v>175565817.93000001</v>
      </c>
      <c r="E62" s="60">
        <v>116047439.90000001</v>
      </c>
      <c r="F62" s="60">
        <v>116047439.90000001</v>
      </c>
      <c r="G62" s="60">
        <f>F62-B62</f>
        <v>-20654388.900000006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136701828.80000001</v>
      </c>
      <c r="C65" s="61">
        <f t="shared" ref="C65:G65" si="13">C45+C54+C59+C62+C63</f>
        <v>38863989.130000003</v>
      </c>
      <c r="D65" s="61">
        <f t="shared" si="13"/>
        <v>175565817.93000001</v>
      </c>
      <c r="E65" s="61">
        <f t="shared" si="13"/>
        <v>116047439.90000001</v>
      </c>
      <c r="F65" s="61">
        <f t="shared" si="13"/>
        <v>116047439.90000001</v>
      </c>
      <c r="G65" s="61">
        <f t="shared" si="13"/>
        <v>-20654388.900000006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4">C68</f>
        <v>0</v>
      </c>
      <c r="D67" s="61">
        <f t="shared" si="14"/>
        <v>0</v>
      </c>
      <c r="E67" s="61">
        <f t="shared" si="14"/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586603556.63315237</v>
      </c>
      <c r="C70" s="61">
        <f t="shared" ref="C70:G70" si="15">C41+C65+C67</f>
        <v>362318991.34999996</v>
      </c>
      <c r="D70" s="61">
        <f t="shared" si="15"/>
        <v>948922547.98315239</v>
      </c>
      <c r="E70" s="61">
        <f t="shared" si="15"/>
        <v>849188168.13</v>
      </c>
      <c r="F70" s="61">
        <f t="shared" si="15"/>
        <v>849188168.13</v>
      </c>
      <c r="G70" s="61">
        <f t="shared" si="15"/>
        <v>262584611.4968476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2194221.4074999997</v>
      </c>
      <c r="Q5" s="18">
        <f>'Formato 5'!C11</f>
        <v>25862943.02</v>
      </c>
      <c r="R5" s="18">
        <f>'Formato 5'!D11</f>
        <v>28057164.427499998</v>
      </c>
      <c r="S5" s="18">
        <f>'Formato 5'!E11</f>
        <v>10193326.83</v>
      </c>
      <c r="T5" s="18">
        <f>'Formato 5'!F11</f>
        <v>10193326.83</v>
      </c>
      <c r="U5" s="18">
        <f>'Formato 5'!G11</f>
        <v>7999105.4225000003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27136831.210000001</v>
      </c>
      <c r="Q7" s="18">
        <f>'Formato 5'!C13</f>
        <v>0</v>
      </c>
      <c r="R7" s="18">
        <f>'Formato 5'!D13</f>
        <v>27136831.210000001</v>
      </c>
      <c r="S7" s="18">
        <f>'Formato 5'!E13</f>
        <v>32872879.5</v>
      </c>
      <c r="T7" s="18">
        <f>'Formato 5'!F13</f>
        <v>32872879.5</v>
      </c>
      <c r="U7" s="18">
        <f>'Formato 5'!G13</f>
        <v>5736048.2899999991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420570675.21565235</v>
      </c>
      <c r="Q9" s="18">
        <f>'Formato 5'!C15</f>
        <v>297592059.19999999</v>
      </c>
      <c r="R9" s="18">
        <f>'Formato 5'!D15</f>
        <v>718162734.41565228</v>
      </c>
      <c r="S9" s="18">
        <f>'Formato 5'!E15</f>
        <v>690074521.89999998</v>
      </c>
      <c r="T9" s="18">
        <f>'Formato 5'!F15</f>
        <v>690074521.89999998</v>
      </c>
      <c r="U9" s="18">
        <f>'Formato 5'!G15</f>
        <v>269503846.68434763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449901727.83315235</v>
      </c>
      <c r="Q34">
        <f>'Formato 5'!C41</f>
        <v>323455002.21999997</v>
      </c>
      <c r="R34">
        <f>'Formato 5'!D41</f>
        <v>773356730.05315232</v>
      </c>
      <c r="S34">
        <f>'Formato 5'!E41</f>
        <v>733140728.23000002</v>
      </c>
      <c r="T34">
        <f>'Formato 5'!F41</f>
        <v>733140728.23000002</v>
      </c>
      <c r="U34">
        <f>'Formato 5'!G41</f>
        <v>283239000.39684761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283239000.39684761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136701828.80000001</v>
      </c>
      <c r="Q54">
        <f>'Formato 5'!C62</f>
        <v>38863989.130000003</v>
      </c>
      <c r="R54">
        <f>'Formato 5'!D62</f>
        <v>175565817.93000001</v>
      </c>
      <c r="S54">
        <f>'Formato 5'!E62</f>
        <v>116047439.90000001</v>
      </c>
      <c r="T54">
        <f>'Formato 5'!F62</f>
        <v>116047439.90000001</v>
      </c>
      <c r="U54">
        <f>'Formato 5'!G62</f>
        <v>-20654388.900000006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136701828.80000001</v>
      </c>
      <c r="Q56">
        <f>'Formato 5'!C65</f>
        <v>38863989.130000003</v>
      </c>
      <c r="R56">
        <f>'Formato 5'!D65</f>
        <v>175565817.93000001</v>
      </c>
      <c r="S56">
        <f>'Formato 5'!E65</f>
        <v>116047439.90000001</v>
      </c>
      <c r="T56">
        <f>'Formato 5'!F65</f>
        <v>116047439.90000001</v>
      </c>
      <c r="U56">
        <f>'Formato 5'!G65</f>
        <v>-20654388.900000006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A39" workbookViewId="0">
      <selection activeCell="D16" sqref="D16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6" t="s">
        <v>3285</v>
      </c>
      <c r="B1" s="175"/>
      <c r="C1" s="175"/>
      <c r="D1" s="175"/>
      <c r="E1" s="175"/>
      <c r="F1" s="175"/>
      <c r="G1" s="175"/>
    </row>
    <row r="2" spans="1:7" x14ac:dyDescent="0.25">
      <c r="A2" s="179" t="str">
        <f>ENTE_PUBLICO_A</f>
        <v>JUNTA DE AGUA POTABLE DRENAJE ALCANTARILLADO Y SANEAMIENTO DEL MUNICIPIO DE IRAPUATO GTO, Gobierno del Estado de Guanajuato (a)</v>
      </c>
      <c r="B2" s="179"/>
      <c r="C2" s="179"/>
      <c r="D2" s="179"/>
      <c r="E2" s="179"/>
      <c r="F2" s="179"/>
      <c r="G2" s="179"/>
    </row>
    <row r="3" spans="1:7" x14ac:dyDescent="0.25">
      <c r="A3" s="180" t="s">
        <v>277</v>
      </c>
      <c r="B3" s="180"/>
      <c r="C3" s="180"/>
      <c r="D3" s="180"/>
      <c r="E3" s="180"/>
      <c r="F3" s="180"/>
      <c r="G3" s="180"/>
    </row>
    <row r="4" spans="1:7" x14ac:dyDescent="0.25">
      <c r="A4" s="180" t="s">
        <v>278</v>
      </c>
      <c r="B4" s="180"/>
      <c r="C4" s="180"/>
      <c r="D4" s="180"/>
      <c r="E4" s="180"/>
      <c r="F4" s="180"/>
      <c r="G4" s="180"/>
    </row>
    <row r="5" spans="1:7" x14ac:dyDescent="0.25">
      <c r="A5" s="181" t="str">
        <f>TRIMESTRE</f>
        <v>Del 1 de enero al 31 de diciembre de 2019 (b)</v>
      </c>
      <c r="B5" s="181"/>
      <c r="C5" s="181"/>
      <c r="D5" s="181"/>
      <c r="E5" s="181"/>
      <c r="F5" s="181"/>
      <c r="G5" s="181"/>
    </row>
    <row r="6" spans="1:7" x14ac:dyDescent="0.25">
      <c r="A6" s="173" t="s">
        <v>118</v>
      </c>
      <c r="B6" s="173"/>
      <c r="C6" s="173"/>
      <c r="D6" s="173"/>
      <c r="E6" s="173"/>
      <c r="F6" s="173"/>
      <c r="G6" s="173"/>
    </row>
    <row r="7" spans="1:7" ht="15" customHeight="1" x14ac:dyDescent="0.25">
      <c r="A7" s="177" t="s">
        <v>0</v>
      </c>
      <c r="B7" s="177" t="s">
        <v>279</v>
      </c>
      <c r="C7" s="177"/>
      <c r="D7" s="177"/>
      <c r="E7" s="177"/>
      <c r="F7" s="177"/>
      <c r="G7" s="178" t="s">
        <v>280</v>
      </c>
    </row>
    <row r="8" spans="1:7" ht="30" x14ac:dyDescent="0.25">
      <c r="A8" s="177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7"/>
    </row>
    <row r="9" spans="1:7" x14ac:dyDescent="0.25">
      <c r="A9" s="82" t="s">
        <v>285</v>
      </c>
      <c r="B9" s="79">
        <f>SUM(B10,B18,B28,B38,B48,B58,B62,B71,B75)</f>
        <v>449901727.82999992</v>
      </c>
      <c r="C9" s="79">
        <f t="shared" ref="C9:G9" si="0">SUM(C10,C18,C28,C38,C48,C58,C62,C71,C75)</f>
        <v>323455002.20000005</v>
      </c>
      <c r="D9" s="79">
        <f t="shared" si="0"/>
        <v>773356730.03000009</v>
      </c>
      <c r="E9" s="79">
        <f t="shared" si="0"/>
        <v>461254022.50790012</v>
      </c>
      <c r="F9" s="79">
        <f t="shared" si="0"/>
        <v>461254022.50790012</v>
      </c>
      <c r="G9" s="79">
        <f t="shared" si="0"/>
        <v>372150326.16210002</v>
      </c>
    </row>
    <row r="10" spans="1:7" x14ac:dyDescent="0.25">
      <c r="A10" s="83" t="s">
        <v>286</v>
      </c>
      <c r="B10" s="80">
        <f>SUM(B11:B17)</f>
        <v>114851276.38000003</v>
      </c>
      <c r="C10" s="80">
        <f t="shared" ref="C10:F10" si="1">SUM(C11:C17)</f>
        <v>-1.6763806343078613E-8</v>
      </c>
      <c r="D10" s="80">
        <f t="shared" si="1"/>
        <v>114851276.38</v>
      </c>
      <c r="E10" s="80">
        <f t="shared" si="1"/>
        <v>111808624.74499999</v>
      </c>
      <c r="F10" s="80">
        <f t="shared" si="1"/>
        <v>111808624.74499999</v>
      </c>
      <c r="G10" s="80">
        <f>SUM(G11:G17)</f>
        <v>3042651.6349999961</v>
      </c>
    </row>
    <row r="11" spans="1:7" x14ac:dyDescent="0.25">
      <c r="A11" s="84" t="s">
        <v>287</v>
      </c>
      <c r="B11" s="80">
        <v>61016688.650000006</v>
      </c>
      <c r="C11" s="80">
        <v>-2049002.3500000015</v>
      </c>
      <c r="D11" s="80">
        <v>58967686.300000004</v>
      </c>
      <c r="E11" s="80">
        <v>58824423.350000009</v>
      </c>
      <c r="F11" s="80">
        <v>58824423.350000009</v>
      </c>
      <c r="G11" s="80">
        <v>143262.94999999553</v>
      </c>
    </row>
    <row r="12" spans="1:7" x14ac:dyDescent="0.25">
      <c r="A12" s="84" t="s">
        <v>288</v>
      </c>
      <c r="B12" s="80">
        <v>72504.070000000007</v>
      </c>
      <c r="C12" s="80">
        <v>0</v>
      </c>
      <c r="D12" s="80">
        <v>72504.070000000007</v>
      </c>
      <c r="E12" s="80">
        <v>72000</v>
      </c>
      <c r="F12" s="80">
        <v>72000</v>
      </c>
      <c r="G12" s="80">
        <v>504.07000000000698</v>
      </c>
    </row>
    <row r="13" spans="1:7" x14ac:dyDescent="0.25">
      <c r="A13" s="84" t="s">
        <v>289</v>
      </c>
      <c r="B13" s="80">
        <v>12418057.800000004</v>
      </c>
      <c r="C13" s="80">
        <v>233025.88999999501</v>
      </c>
      <c r="D13" s="80">
        <v>12651083.689999999</v>
      </c>
      <c r="E13" s="80">
        <v>12033855.750000004</v>
      </c>
      <c r="F13" s="80">
        <v>12033855.750000004</v>
      </c>
      <c r="G13" s="80">
        <v>617227.93999999575</v>
      </c>
    </row>
    <row r="14" spans="1:7" x14ac:dyDescent="0.25">
      <c r="A14" s="84" t="s">
        <v>290</v>
      </c>
      <c r="B14" s="80">
        <v>19800144.880000006</v>
      </c>
      <c r="C14" s="80">
        <v>-1289794.1100000143</v>
      </c>
      <c r="D14" s="80">
        <v>18510350.769999992</v>
      </c>
      <c r="E14" s="80">
        <v>17807757.574999992</v>
      </c>
      <c r="F14" s="80">
        <v>17807757.574999992</v>
      </c>
      <c r="G14" s="80">
        <v>702593.1950000003</v>
      </c>
    </row>
    <row r="15" spans="1:7" x14ac:dyDescent="0.25">
      <c r="A15" s="84" t="s">
        <v>291</v>
      </c>
      <c r="B15" s="80">
        <v>21538880.979999997</v>
      </c>
      <c r="C15" s="80">
        <v>3105770.570000004</v>
      </c>
      <c r="D15" s="80">
        <v>24644651.550000001</v>
      </c>
      <c r="E15" s="80">
        <v>23070588.069999997</v>
      </c>
      <c r="F15" s="80">
        <v>23070588.069999997</v>
      </c>
      <c r="G15" s="80">
        <v>1574063.4800000042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</row>
    <row r="18" spans="1:7" x14ac:dyDescent="0.25">
      <c r="A18" s="83" t="s">
        <v>294</v>
      </c>
      <c r="B18" s="80">
        <f>SUM(B19:B27)</f>
        <v>96482023.739999995</v>
      </c>
      <c r="C18" s="80">
        <f t="shared" ref="C18:F18" si="2">SUM(C19:C27)</f>
        <v>-31056899.179999996</v>
      </c>
      <c r="D18" s="80">
        <f t="shared" si="2"/>
        <v>65425124.560000002</v>
      </c>
      <c r="E18" s="80">
        <f t="shared" si="2"/>
        <v>43535262.192899995</v>
      </c>
      <c r="F18" s="80">
        <f t="shared" si="2"/>
        <v>43535262.192899995</v>
      </c>
      <c r="G18" s="80">
        <f>SUM(G19:G27)</f>
        <v>25889862.367099993</v>
      </c>
    </row>
    <row r="19" spans="1:7" x14ac:dyDescent="0.25">
      <c r="A19" s="84" t="s">
        <v>295</v>
      </c>
      <c r="B19" s="80">
        <v>1678076.0899999996</v>
      </c>
      <c r="C19" s="80">
        <v>-84102.149999999674</v>
      </c>
      <c r="D19" s="80">
        <v>1593973.94</v>
      </c>
      <c r="E19" s="80">
        <v>1509734.8299999996</v>
      </c>
      <c r="F19" s="80">
        <v>1509734.8299999996</v>
      </c>
      <c r="G19" s="80">
        <v>84239.110000000335</v>
      </c>
    </row>
    <row r="20" spans="1:7" x14ac:dyDescent="0.25">
      <c r="A20" s="84" t="s">
        <v>296</v>
      </c>
      <c r="B20" s="80">
        <v>416751.86</v>
      </c>
      <c r="C20" s="80">
        <v>-27877.669999999925</v>
      </c>
      <c r="D20" s="80">
        <v>388874.19000000006</v>
      </c>
      <c r="E20" s="80">
        <v>323329.52999999997</v>
      </c>
      <c r="F20" s="80">
        <v>323329.52999999997</v>
      </c>
      <c r="G20" s="80">
        <v>65544.660000000091</v>
      </c>
    </row>
    <row r="21" spans="1:7" x14ac:dyDescent="0.25">
      <c r="A21" s="84" t="s">
        <v>297</v>
      </c>
      <c r="B21" s="80">
        <v>547705.65</v>
      </c>
      <c r="C21" s="80">
        <v>-17757.70000000007</v>
      </c>
      <c r="D21" s="80">
        <v>529947.94999999995</v>
      </c>
      <c r="E21" s="80">
        <v>458841.67</v>
      </c>
      <c r="F21" s="80">
        <v>458841.67</v>
      </c>
      <c r="G21" s="80">
        <v>71106.27999999997</v>
      </c>
    </row>
    <row r="22" spans="1:7" x14ac:dyDescent="0.25">
      <c r="A22" s="84" t="s">
        <v>298</v>
      </c>
      <c r="B22" s="80">
        <v>19836850.289999995</v>
      </c>
      <c r="C22" s="80">
        <f>D22-B22</f>
        <v>4032644.9800000042</v>
      </c>
      <c r="D22" s="80">
        <f>27869495.27-D97</f>
        <v>23869495.27</v>
      </c>
      <c r="E22" s="80">
        <v>13236408.729999999</v>
      </c>
      <c r="F22" s="80">
        <v>13236408.729999999</v>
      </c>
      <c r="G22" s="80">
        <v>14633086.539999994</v>
      </c>
    </row>
    <row r="23" spans="1:7" x14ac:dyDescent="0.25">
      <c r="A23" s="84" t="s">
        <v>299</v>
      </c>
      <c r="B23" s="80">
        <v>59882211.479999997</v>
      </c>
      <c r="C23" s="80">
        <v>-34875682.439999998</v>
      </c>
      <c r="D23" s="80">
        <v>25006529.039999995</v>
      </c>
      <c r="E23" s="80">
        <v>14643951.899899999</v>
      </c>
      <c r="F23" s="80">
        <v>14643951.899899999</v>
      </c>
      <c r="G23" s="80">
        <v>10362577.140099997</v>
      </c>
    </row>
    <row r="24" spans="1:7" x14ac:dyDescent="0.25">
      <c r="A24" s="84" t="s">
        <v>300</v>
      </c>
      <c r="B24" s="80">
        <v>9953163.0999999996</v>
      </c>
      <c r="C24" s="80">
        <v>2254.3199999984354</v>
      </c>
      <c r="D24" s="80">
        <v>9955417.4199999981</v>
      </c>
      <c r="E24" s="80">
        <v>9496604.6399999987</v>
      </c>
      <c r="F24" s="80">
        <v>9496604.6399999987</v>
      </c>
      <c r="G24" s="80">
        <v>458812.77999999933</v>
      </c>
    </row>
    <row r="25" spans="1:7" x14ac:dyDescent="0.25">
      <c r="A25" s="84" t="s">
        <v>301</v>
      </c>
      <c r="B25" s="80">
        <v>2129018.12</v>
      </c>
      <c r="C25" s="80">
        <v>-117568.01999999979</v>
      </c>
      <c r="D25" s="80">
        <v>2011450.1000000003</v>
      </c>
      <c r="E25" s="80">
        <v>1943266.0500000003</v>
      </c>
      <c r="F25" s="80">
        <v>1943266.0500000003</v>
      </c>
      <c r="G25" s="80">
        <v>68184.050000000047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v>0</v>
      </c>
    </row>
    <row r="27" spans="1:7" x14ac:dyDescent="0.25">
      <c r="A27" s="84" t="s">
        <v>303</v>
      </c>
      <c r="B27" s="80">
        <v>2038247.1500000004</v>
      </c>
      <c r="C27" s="80">
        <v>31189.499999999534</v>
      </c>
      <c r="D27" s="80">
        <v>2069436.65</v>
      </c>
      <c r="E27" s="80">
        <v>1923124.8430000003</v>
      </c>
      <c r="F27" s="80">
        <v>1923124.8430000003</v>
      </c>
      <c r="G27" s="80">
        <v>146311.80699999956</v>
      </c>
    </row>
    <row r="28" spans="1:7" x14ac:dyDescent="0.25">
      <c r="A28" s="83" t="s">
        <v>304</v>
      </c>
      <c r="B28" s="80">
        <f>SUM(B29:B37)</f>
        <v>135443264.41</v>
      </c>
      <c r="C28" s="80">
        <f t="shared" ref="C28:G28" si="3">SUM(C29:C37)</f>
        <v>9056211.1599999964</v>
      </c>
      <c r="D28" s="80">
        <f t="shared" si="3"/>
        <v>144499475.56999999</v>
      </c>
      <c r="E28" s="80">
        <f t="shared" si="3"/>
        <v>140658440.15000004</v>
      </c>
      <c r="F28" s="80">
        <f t="shared" si="3"/>
        <v>140658440.15000004</v>
      </c>
      <c r="G28" s="80">
        <f t="shared" si="3"/>
        <v>3841035.4200000004</v>
      </c>
    </row>
    <row r="29" spans="1:7" x14ac:dyDescent="0.25">
      <c r="A29" s="84" t="s">
        <v>305</v>
      </c>
      <c r="B29" s="80">
        <v>80920291.710000008</v>
      </c>
      <c r="C29" s="80">
        <v>6697641.6299999952</v>
      </c>
      <c r="D29" s="80">
        <v>87617933.340000004</v>
      </c>
      <c r="E29" s="80">
        <v>85984147.810000002</v>
      </c>
      <c r="F29" s="80">
        <v>85984147.810000002</v>
      </c>
      <c r="G29" s="80">
        <v>1633785.5300000012</v>
      </c>
    </row>
    <row r="30" spans="1:7" x14ac:dyDescent="0.25">
      <c r="A30" s="84" t="s">
        <v>306</v>
      </c>
      <c r="B30" s="80">
        <v>1760237.6300000001</v>
      </c>
      <c r="C30" s="80">
        <v>-414622.39000000013</v>
      </c>
      <c r="D30" s="80">
        <v>1345615.24</v>
      </c>
      <c r="E30" s="80">
        <v>1127217.22</v>
      </c>
      <c r="F30" s="80">
        <v>1127217.22</v>
      </c>
      <c r="G30" s="80">
        <v>218398.02000000002</v>
      </c>
    </row>
    <row r="31" spans="1:7" x14ac:dyDescent="0.25">
      <c r="A31" s="84" t="s">
        <v>307</v>
      </c>
      <c r="B31" s="80">
        <v>6930212.4200000009</v>
      </c>
      <c r="C31" s="80">
        <v>216343.52000000048</v>
      </c>
      <c r="D31" s="80">
        <v>7146555.9400000013</v>
      </c>
      <c r="E31" s="80">
        <v>6527653.5099999988</v>
      </c>
      <c r="F31" s="80">
        <v>6527653.5099999988</v>
      </c>
      <c r="G31" s="80">
        <v>618902.4300000025</v>
      </c>
    </row>
    <row r="32" spans="1:7" x14ac:dyDescent="0.25">
      <c r="A32" s="84" t="s">
        <v>308</v>
      </c>
      <c r="B32" s="80">
        <v>4574934.63</v>
      </c>
      <c r="C32" s="80">
        <v>861385.50999999978</v>
      </c>
      <c r="D32" s="80">
        <v>5436320.1399999997</v>
      </c>
      <c r="E32" s="80">
        <v>5068878.07</v>
      </c>
      <c r="F32" s="80">
        <v>5068878.07</v>
      </c>
      <c r="G32" s="80">
        <v>367442.06999999937</v>
      </c>
    </row>
    <row r="33" spans="1:7" x14ac:dyDescent="0.25">
      <c r="A33" s="84" t="s">
        <v>309</v>
      </c>
      <c r="B33" s="80">
        <v>12976884.9</v>
      </c>
      <c r="C33" s="80">
        <v>407056.31999999844</v>
      </c>
      <c r="D33" s="80">
        <v>13383941.219999999</v>
      </c>
      <c r="E33" s="80">
        <v>12813962.649999999</v>
      </c>
      <c r="F33" s="80">
        <v>12813962.649999999</v>
      </c>
      <c r="G33" s="80">
        <v>569978.5700000003</v>
      </c>
    </row>
    <row r="34" spans="1:7" x14ac:dyDescent="0.25">
      <c r="A34" s="84" t="s">
        <v>310</v>
      </c>
      <c r="B34" s="80">
        <v>2341149</v>
      </c>
      <c r="C34" s="80">
        <v>260351</v>
      </c>
      <c r="D34" s="80">
        <v>2601500</v>
      </c>
      <c r="E34" s="80">
        <v>2555125.9300000002</v>
      </c>
      <c r="F34" s="80">
        <v>2555125.9300000002</v>
      </c>
      <c r="G34" s="80">
        <v>46374.069999999832</v>
      </c>
    </row>
    <row r="35" spans="1:7" x14ac:dyDescent="0.25">
      <c r="A35" s="84" t="s">
        <v>311</v>
      </c>
      <c r="B35" s="80">
        <v>246112.37000000002</v>
      </c>
      <c r="C35" s="80">
        <v>-117495.54000000002</v>
      </c>
      <c r="D35" s="80">
        <v>128616.83</v>
      </c>
      <c r="E35" s="80">
        <v>75325.87</v>
      </c>
      <c r="F35" s="80">
        <v>75325.87</v>
      </c>
      <c r="G35" s="80">
        <v>53290.960000000006</v>
      </c>
    </row>
    <row r="36" spans="1:7" x14ac:dyDescent="0.25">
      <c r="A36" s="84" t="s">
        <v>312</v>
      </c>
      <c r="B36" s="80">
        <v>408039.82</v>
      </c>
      <c r="C36" s="80">
        <v>-47656.860000000044</v>
      </c>
      <c r="D36" s="80">
        <v>360382.95999999996</v>
      </c>
      <c r="E36" s="80">
        <v>313676.72000000003</v>
      </c>
      <c r="F36" s="80">
        <v>313676.72000000003</v>
      </c>
      <c r="G36" s="80">
        <v>46706.239999999932</v>
      </c>
    </row>
    <row r="37" spans="1:7" x14ac:dyDescent="0.25">
      <c r="A37" s="84" t="s">
        <v>313</v>
      </c>
      <c r="B37" s="80">
        <v>25285401.929999996</v>
      </c>
      <c r="C37" s="80">
        <v>1193207.9700000025</v>
      </c>
      <c r="D37" s="80">
        <v>26478609.899999999</v>
      </c>
      <c r="E37" s="80">
        <v>26192452.370000001</v>
      </c>
      <c r="F37" s="80">
        <v>26192452.370000001</v>
      </c>
      <c r="G37" s="80">
        <v>286157.52999999747</v>
      </c>
    </row>
    <row r="38" spans="1:7" x14ac:dyDescent="0.25">
      <c r="A38" s="83" t="s">
        <v>314</v>
      </c>
      <c r="B38" s="80">
        <f>SUM(B39:B47)</f>
        <v>2374447.9300000002</v>
      </c>
      <c r="C38" s="80">
        <f t="shared" ref="C38:G38" si="4">SUM(C39:C47)</f>
        <v>-1061029.83</v>
      </c>
      <c r="D38" s="80">
        <f t="shared" si="4"/>
        <v>1313418.1000000001</v>
      </c>
      <c r="E38" s="80">
        <f t="shared" si="4"/>
        <v>736288.90999999992</v>
      </c>
      <c r="F38" s="80">
        <f t="shared" si="4"/>
        <v>736288.90999999992</v>
      </c>
      <c r="G38" s="80">
        <f t="shared" si="4"/>
        <v>577129.19000000018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v>0</v>
      </c>
    </row>
    <row r="42" spans="1:7" x14ac:dyDescent="0.25">
      <c r="A42" s="84" t="s">
        <v>318</v>
      </c>
      <c r="B42" s="80">
        <v>725418.1</v>
      </c>
      <c r="C42" s="80">
        <v>50000.000000000116</v>
      </c>
      <c r="D42" s="80">
        <v>775418.10000000009</v>
      </c>
      <c r="E42" s="80">
        <v>698288.90999999992</v>
      </c>
      <c r="F42" s="80">
        <v>698288.90999999992</v>
      </c>
      <c r="G42" s="80">
        <v>77129.190000000177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</row>
    <row r="46" spans="1:7" x14ac:dyDescent="0.25">
      <c r="A46" s="84" t="s">
        <v>322</v>
      </c>
      <c r="B46" s="80">
        <v>1649029.83</v>
      </c>
      <c r="C46" s="80">
        <v>-1111029.83</v>
      </c>
      <c r="D46" s="80">
        <v>538000</v>
      </c>
      <c r="E46" s="80">
        <v>38000</v>
      </c>
      <c r="F46" s="80">
        <v>38000</v>
      </c>
      <c r="G46" s="80">
        <v>500000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v>0</v>
      </c>
    </row>
    <row r="48" spans="1:7" x14ac:dyDescent="0.25">
      <c r="A48" s="83" t="s">
        <v>324</v>
      </c>
      <c r="B48" s="80">
        <f>SUM(B49:B57)</f>
        <v>27156574.969999999</v>
      </c>
      <c r="C48" s="80">
        <f t="shared" ref="C48:G48" si="5">SUM(C49:C57)</f>
        <v>4263294.82</v>
      </c>
      <c r="D48" s="80">
        <f t="shared" si="5"/>
        <v>31419869.789999999</v>
      </c>
      <c r="E48" s="80">
        <f t="shared" si="5"/>
        <v>10990609.67</v>
      </c>
      <c r="F48" s="80">
        <f t="shared" si="5"/>
        <v>10990609.67</v>
      </c>
      <c r="G48" s="80">
        <f t="shared" si="5"/>
        <v>24429260.120000001</v>
      </c>
    </row>
    <row r="49" spans="1:7" x14ac:dyDescent="0.25">
      <c r="A49" s="84" t="s">
        <v>325</v>
      </c>
      <c r="B49" s="80">
        <v>3018734.56</v>
      </c>
      <c r="C49" s="80">
        <v>-257559.02000000002</v>
      </c>
      <c r="D49" s="80">
        <v>2761175.54</v>
      </c>
      <c r="E49" s="80">
        <v>2592756.1900000004</v>
      </c>
      <c r="F49" s="80">
        <v>2592756.1900000004</v>
      </c>
      <c r="G49" s="80">
        <v>168419.34999999963</v>
      </c>
    </row>
    <row r="50" spans="1:7" x14ac:dyDescent="0.25">
      <c r="A50" s="84" t="s">
        <v>326</v>
      </c>
      <c r="B50" s="80">
        <v>86700</v>
      </c>
      <c r="C50" s="80">
        <v>-70708.239999999991</v>
      </c>
      <c r="D50" s="80">
        <v>15991.760000000002</v>
      </c>
      <c r="E50" s="80">
        <v>15991.76</v>
      </c>
      <c r="F50" s="80">
        <v>15991.76</v>
      </c>
      <c r="G50" s="80">
        <v>0</v>
      </c>
    </row>
    <row r="51" spans="1:7" x14ac:dyDescent="0.25">
      <c r="A51" s="84" t="s">
        <v>327</v>
      </c>
      <c r="B51" s="80">
        <v>2250000</v>
      </c>
      <c r="C51" s="80">
        <v>-1350000</v>
      </c>
      <c r="D51" s="80">
        <v>900000</v>
      </c>
      <c r="E51" s="80">
        <v>328167.48</v>
      </c>
      <c r="F51" s="80">
        <v>328167.48</v>
      </c>
      <c r="G51" s="80">
        <v>571832.52</v>
      </c>
    </row>
    <row r="52" spans="1:7" x14ac:dyDescent="0.25">
      <c r="A52" s="84" t="s">
        <v>328</v>
      </c>
      <c r="B52" s="80">
        <v>2000000</v>
      </c>
      <c r="C52" s="80">
        <v>1977472.79</v>
      </c>
      <c r="D52" s="80">
        <v>3977472.79</v>
      </c>
      <c r="E52" s="80">
        <v>3977472.7899999996</v>
      </c>
      <c r="F52" s="80">
        <v>3977472.7899999996</v>
      </c>
      <c r="G52" s="80"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v>0</v>
      </c>
    </row>
    <row r="54" spans="1:7" x14ac:dyDescent="0.25">
      <c r="A54" s="84" t="s">
        <v>330</v>
      </c>
      <c r="B54" s="80">
        <v>15901140.41</v>
      </c>
      <c r="C54" s="80">
        <f>D54-B54</f>
        <v>3382251.4299999997</v>
      </c>
      <c r="D54" s="80">
        <f>23283391.84-D129</f>
        <v>19283391.84</v>
      </c>
      <c r="E54" s="80">
        <f>2784221.45-E97</f>
        <v>2784221.45</v>
      </c>
      <c r="F54" s="80">
        <v>2784221.4499999997</v>
      </c>
      <c r="G54" s="80">
        <v>20499170.390000001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v>0</v>
      </c>
    </row>
    <row r="56" spans="1:7" x14ac:dyDescent="0.25">
      <c r="A56" s="84" t="s">
        <v>332</v>
      </c>
      <c r="B56" s="80">
        <v>3900000</v>
      </c>
      <c r="C56" s="80">
        <v>581837.86000000034</v>
      </c>
      <c r="D56" s="80">
        <v>4481837.8600000003</v>
      </c>
      <c r="E56" s="80">
        <v>1292000</v>
      </c>
      <c r="F56" s="80">
        <v>1292000</v>
      </c>
      <c r="G56" s="80">
        <v>3189837.8600000003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</row>
    <row r="58" spans="1:7" x14ac:dyDescent="0.25">
      <c r="A58" s="83" t="s">
        <v>334</v>
      </c>
      <c r="B58" s="80">
        <f>SUM(B59:B61)</f>
        <v>73594140.400000006</v>
      </c>
      <c r="C58" s="80">
        <f t="shared" ref="C58:G58" si="6">SUM(C59:C61)</f>
        <v>85912484.800000042</v>
      </c>
      <c r="D58" s="80">
        <f t="shared" si="6"/>
        <v>159506625.20000005</v>
      </c>
      <c r="E58" s="80">
        <f t="shared" si="6"/>
        <v>79998201.540000021</v>
      </c>
      <c r="F58" s="80">
        <f t="shared" si="6"/>
        <v>79998201.540000021</v>
      </c>
      <c r="G58" s="80">
        <f t="shared" si="6"/>
        <v>131556042.30000004</v>
      </c>
    </row>
    <row r="59" spans="1:7" x14ac:dyDescent="0.25">
      <c r="A59" s="84" t="s">
        <v>335</v>
      </c>
      <c r="B59" s="80">
        <f>156031828.8-B134</f>
        <v>54900000.000000015</v>
      </c>
      <c r="C59" s="80">
        <f>D59-B59</f>
        <v>79821176.310000047</v>
      </c>
      <c r="D59" s="80">
        <f>264159268.59-D134</f>
        <v>134721176.31000006</v>
      </c>
      <c r="E59" s="80">
        <f>154366263.35-E134</f>
        <v>67351043.040000021</v>
      </c>
      <c r="F59" s="80">
        <f>154366263.35-F134</f>
        <v>67351043.040000021</v>
      </c>
      <c r="G59" s="80">
        <v>109793005.24000004</v>
      </c>
    </row>
    <row r="60" spans="1:7" x14ac:dyDescent="0.25">
      <c r="A60" s="84" t="s">
        <v>336</v>
      </c>
      <c r="B60" s="80">
        <f>54264140.4-B135</f>
        <v>18694140.399999999</v>
      </c>
      <c r="C60" s="80">
        <f>D60-B60</f>
        <v>6091308.4900000021</v>
      </c>
      <c r="D60" s="80">
        <f>62913174.54-D135</f>
        <v>24785448.890000001</v>
      </c>
      <c r="E60" s="80">
        <f>41150137.48-E135</f>
        <v>12647158.5</v>
      </c>
      <c r="F60" s="80">
        <f>41150137.48-F135</f>
        <v>12647158.5</v>
      </c>
      <c r="G60" s="80">
        <v>21763037.060000002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7">SUM(C63:C67,C69:C70)</f>
        <v>211789133.80000001</v>
      </c>
      <c r="D62" s="80">
        <f t="shared" si="7"/>
        <v>211789133.80000001</v>
      </c>
      <c r="E62" s="80">
        <f t="shared" si="7"/>
        <v>43555999.999999978</v>
      </c>
      <c r="F62" s="80">
        <f t="shared" si="7"/>
        <v>43555999.999999978</v>
      </c>
      <c r="G62" s="80">
        <f t="shared" si="7"/>
        <v>168233133.80000004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</row>
    <row r="66" spans="1:7" x14ac:dyDescent="0.25">
      <c r="A66" s="84" t="s">
        <v>342</v>
      </c>
      <c r="B66" s="80">
        <v>0</v>
      </c>
      <c r="C66" s="80">
        <v>76671351.560000002</v>
      </c>
      <c r="D66" s="80">
        <v>76671351.560000002</v>
      </c>
      <c r="E66" s="80">
        <v>43556000</v>
      </c>
      <c r="F66" s="80">
        <v>43556000</v>
      </c>
      <c r="G66" s="80">
        <v>33115351.560000002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</row>
    <row r="69" spans="1:7" x14ac:dyDescent="0.25">
      <c r="A69" s="84" t="s">
        <v>345</v>
      </c>
      <c r="B69" s="80">
        <v>0</v>
      </c>
      <c r="C69" s="80">
        <v>135117782.24000001</v>
      </c>
      <c r="D69" s="80">
        <v>135117782.24000001</v>
      </c>
      <c r="E69" s="80">
        <v>-2.0489096641540527E-8</v>
      </c>
      <c r="F69" s="80">
        <v>-2.0489096641540527E-8</v>
      </c>
      <c r="G69" s="80">
        <v>135117782.24000004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ref="G70" si="8">D70-E70</f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9">SUM(C72:C74)</f>
        <v>44551806.629999995</v>
      </c>
      <c r="D71" s="80">
        <f t="shared" si="9"/>
        <v>44551806.629999995</v>
      </c>
      <c r="E71" s="80">
        <f t="shared" si="9"/>
        <v>29970595.300000001</v>
      </c>
      <c r="F71" s="80">
        <f t="shared" si="9"/>
        <v>29970595.300000001</v>
      </c>
      <c r="G71" s="80">
        <f t="shared" si="9"/>
        <v>14581211.329999994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</row>
    <row r="74" spans="1:7" x14ac:dyDescent="0.25">
      <c r="A74" s="84" t="s">
        <v>350</v>
      </c>
      <c r="B74" s="80">
        <v>0</v>
      </c>
      <c r="C74" s="80">
        <v>44551806.629999995</v>
      </c>
      <c r="D74" s="80">
        <v>44551806.629999995</v>
      </c>
      <c r="E74" s="80">
        <v>29970595.300000001</v>
      </c>
      <c r="F74" s="80">
        <v>29970595.300000001</v>
      </c>
      <c r="G74" s="80">
        <v>14581211.329999994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0">SUM(C76:C82)</f>
        <v>0</v>
      </c>
      <c r="D75" s="80">
        <f t="shared" si="10"/>
        <v>0</v>
      </c>
      <c r="E75" s="80">
        <f t="shared" si="10"/>
        <v>0</v>
      </c>
      <c r="F75" s="80">
        <f t="shared" si="10"/>
        <v>0</v>
      </c>
      <c r="G75" s="80">
        <f t="shared" si="10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1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1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1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1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1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1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136701828.80000001</v>
      </c>
      <c r="C84" s="79">
        <f t="shared" ref="C84:G84" si="12">SUM(C85,C93,C103,C113,C123,C133,C137,C146,C150)</f>
        <v>30863989.129999958</v>
      </c>
      <c r="D84" s="79">
        <f t="shared" si="12"/>
        <v>175565817.92999995</v>
      </c>
      <c r="E84" s="79">
        <f t="shared" si="12"/>
        <v>115518199.28999996</v>
      </c>
      <c r="F84" s="79">
        <f t="shared" si="12"/>
        <v>115518199.28999996</v>
      </c>
      <c r="G84" s="79">
        <f t="shared" si="12"/>
        <v>60047618.639999986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13">SUM(C86:C92)</f>
        <v>0</v>
      </c>
      <c r="D85" s="80">
        <f t="shared" si="13"/>
        <v>0</v>
      </c>
      <c r="E85" s="80">
        <f t="shared" si="13"/>
        <v>0</v>
      </c>
      <c r="F85" s="80">
        <f t="shared" si="13"/>
        <v>0</v>
      </c>
      <c r="G85" s="80">
        <f t="shared" si="13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4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4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4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4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4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4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15">SUM(C94:C102)</f>
        <v>0</v>
      </c>
      <c r="D93" s="80">
        <f t="shared" si="15"/>
        <v>4000000</v>
      </c>
      <c r="E93" s="80">
        <f t="shared" si="15"/>
        <v>0</v>
      </c>
      <c r="F93" s="80">
        <f t="shared" si="15"/>
        <v>0</v>
      </c>
      <c r="G93" s="80">
        <f t="shared" si="15"/>
        <v>4000000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16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16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4000000</v>
      </c>
      <c r="E97" s="80">
        <v>0</v>
      </c>
      <c r="F97" s="80">
        <v>0</v>
      </c>
      <c r="G97" s="80">
        <f t="shared" si="16"/>
        <v>4000000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16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16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16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16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16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17">SUM(D104:D112)</f>
        <v>0</v>
      </c>
      <c r="E103" s="80">
        <f t="shared" si="17"/>
        <v>0</v>
      </c>
      <c r="F103" s="80">
        <f t="shared" si="17"/>
        <v>0</v>
      </c>
      <c r="G103" s="80">
        <f t="shared" si="17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18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18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18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18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18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18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18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18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19">SUM(C114:C122)</f>
        <v>0</v>
      </c>
      <c r="D113" s="80">
        <f t="shared" si="19"/>
        <v>0</v>
      </c>
      <c r="E113" s="80">
        <f t="shared" si="19"/>
        <v>0</v>
      </c>
      <c r="F113" s="80">
        <f t="shared" si="19"/>
        <v>0</v>
      </c>
      <c r="G113" s="80">
        <f t="shared" si="19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0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0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0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0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0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0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0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0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1">SUM(C124:C132)</f>
        <v>0</v>
      </c>
      <c r="D123" s="80">
        <f t="shared" si="21"/>
        <v>4000000</v>
      </c>
      <c r="E123" s="80">
        <v>0</v>
      </c>
      <c r="F123" s="80">
        <v>0</v>
      </c>
      <c r="G123" s="80">
        <f t="shared" si="21"/>
        <v>4000000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2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2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2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2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4000000</v>
      </c>
      <c r="E129" s="80">
        <v>0</v>
      </c>
      <c r="F129" s="80">
        <v>0</v>
      </c>
      <c r="G129" s="80">
        <f t="shared" si="22"/>
        <v>4000000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2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2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2"/>
        <v>0</v>
      </c>
    </row>
    <row r="133" spans="1:7" x14ac:dyDescent="0.25">
      <c r="A133" s="83" t="s">
        <v>334</v>
      </c>
      <c r="B133" s="80">
        <f>SUM(B134:B136)</f>
        <v>136701828.80000001</v>
      </c>
      <c r="C133" s="80">
        <f t="shared" ref="C133:G133" si="23">SUM(C134:C136)</f>
        <v>30863989.129999958</v>
      </c>
      <c r="D133" s="80">
        <f t="shared" si="23"/>
        <v>167565817.92999995</v>
      </c>
      <c r="E133" s="80">
        <f t="shared" si="23"/>
        <v>115518199.28999996</v>
      </c>
      <c r="F133" s="80">
        <f t="shared" si="23"/>
        <v>115518199.28999996</v>
      </c>
      <c r="G133" s="80">
        <f t="shared" si="23"/>
        <v>52047618.639999986</v>
      </c>
    </row>
    <row r="134" spans="1:7" x14ac:dyDescent="0.25">
      <c r="A134" s="84" t="s">
        <v>335</v>
      </c>
      <c r="B134" s="80">
        <v>101131828.8</v>
      </c>
      <c r="C134" s="80">
        <f>D134-B134</f>
        <v>28306263.479999959</v>
      </c>
      <c r="D134" s="80">
        <v>129438092.27999996</v>
      </c>
      <c r="E134" s="80">
        <v>87015220.309999973</v>
      </c>
      <c r="F134" s="80">
        <v>87015220.309999973</v>
      </c>
      <c r="G134" s="80">
        <f>D134-E134</f>
        <v>42422871.969999984</v>
      </c>
    </row>
    <row r="135" spans="1:7" x14ac:dyDescent="0.25">
      <c r="A135" s="84" t="s">
        <v>336</v>
      </c>
      <c r="B135" s="80">
        <v>35570000</v>
      </c>
      <c r="C135" s="80">
        <f>D135-B135</f>
        <v>2557725.6499999985</v>
      </c>
      <c r="D135" s="80">
        <v>38127725.649999999</v>
      </c>
      <c r="E135" s="80">
        <v>28502978.979999997</v>
      </c>
      <c r="F135" s="80">
        <v>28502978.979999997</v>
      </c>
      <c r="G135" s="80">
        <f t="shared" ref="G135:G136" si="24">D135-E135</f>
        <v>9624746.6700000018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24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25">SUM(C138:C142,C144:C145)</f>
        <v>0</v>
      </c>
      <c r="D137" s="80">
        <f t="shared" si="25"/>
        <v>0</v>
      </c>
      <c r="E137" s="80">
        <f t="shared" si="25"/>
        <v>0</v>
      </c>
      <c r="F137" s="80">
        <f t="shared" si="25"/>
        <v>0</v>
      </c>
      <c r="G137" s="80">
        <f t="shared" si="25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6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6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6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6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26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26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6"/>
        <v>0</v>
      </c>
    </row>
    <row r="146" spans="1:7" x14ac:dyDescent="0.25">
      <c r="A146" s="83" t="s">
        <v>347</v>
      </c>
      <c r="B146" s="80">
        <f>SUM(B147:B149)</f>
        <v>0</v>
      </c>
      <c r="C146" s="80">
        <f>SUM(C147:C149)</f>
        <v>0</v>
      </c>
      <c r="D146" s="80">
        <f>SUM(D147:D149)</f>
        <v>0</v>
      </c>
      <c r="E146" s="80">
        <f>SUM(E147:E149)</f>
        <v>0</v>
      </c>
      <c r="F146" s="80">
        <f>SUM(F147:F149)</f>
        <v>0</v>
      </c>
      <c r="G146" s="80">
        <f t="shared" ref="G146" si="27">SUM(G147:G149)</f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28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28"/>
        <v>0</v>
      </c>
    </row>
    <row r="150" spans="1:7" x14ac:dyDescent="0.25">
      <c r="A150" s="83" t="s">
        <v>351</v>
      </c>
      <c r="B150" s="80">
        <f>SUM(B151:B157)</f>
        <v>0</v>
      </c>
      <c r="C150" s="80">
        <f>SUM(C151:C157)</f>
        <v>0</v>
      </c>
      <c r="D150" s="80">
        <f>SUM(D151:D157)</f>
        <v>0</v>
      </c>
      <c r="E150" s="80">
        <f>SUM(E151:E157)</f>
        <v>0</v>
      </c>
      <c r="F150" s="80">
        <f>SUM(F151:F157)</f>
        <v>0</v>
      </c>
      <c r="G150" s="80">
        <f t="shared" ref="G150" si="29">SUM(G151:G157)</f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0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0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0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0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0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0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586603556.62999988</v>
      </c>
      <c r="C159" s="79">
        <f t="shared" ref="C159:G159" si="31">C9+C84</f>
        <v>354318991.32999998</v>
      </c>
      <c r="D159" s="79">
        <f t="shared" si="31"/>
        <v>948922547.96000004</v>
      </c>
      <c r="E159" s="79">
        <f t="shared" si="31"/>
        <v>576772221.79790008</v>
      </c>
      <c r="F159" s="79">
        <f t="shared" si="31"/>
        <v>576772221.79790008</v>
      </c>
      <c r="G159" s="79">
        <f t="shared" si="31"/>
        <v>432197944.8021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449901727.82999992</v>
      </c>
      <c r="Q2" s="18">
        <f>'Formato 6 a)'!C9</f>
        <v>323455002.20000005</v>
      </c>
      <c r="R2" s="18">
        <f>'Formato 6 a)'!D9</f>
        <v>773356730.03000009</v>
      </c>
      <c r="S2" s="18">
        <f>'Formato 6 a)'!E9</f>
        <v>461254022.50790012</v>
      </c>
      <c r="T2" s="18">
        <f>'Formato 6 a)'!F9</f>
        <v>461254022.50790012</v>
      </c>
      <c r="U2" s="18">
        <f>'Formato 6 a)'!G9</f>
        <v>372150326.16210002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114851276.38000003</v>
      </c>
      <c r="Q3" s="18">
        <f>'Formato 6 a)'!C10</f>
        <v>-1.6763806343078613E-8</v>
      </c>
      <c r="R3" s="18">
        <f>'Formato 6 a)'!D10</f>
        <v>114851276.38</v>
      </c>
      <c r="S3" s="18">
        <f>'Formato 6 a)'!E10</f>
        <v>111808624.74499999</v>
      </c>
      <c r="T3" s="18">
        <f>'Formato 6 a)'!F10</f>
        <v>111808624.74499999</v>
      </c>
      <c r="U3" s="18">
        <f>'Formato 6 a)'!G10</f>
        <v>3042651.6349999961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61016688.650000006</v>
      </c>
      <c r="Q4" s="18">
        <f>'Formato 6 a)'!C11</f>
        <v>-2049002.3500000015</v>
      </c>
      <c r="R4" s="18">
        <f>'Formato 6 a)'!D11</f>
        <v>58967686.300000004</v>
      </c>
      <c r="S4" s="18">
        <f>'Formato 6 a)'!E11</f>
        <v>58824423.350000009</v>
      </c>
      <c r="T4" s="18">
        <f>'Formato 6 a)'!F11</f>
        <v>58824423.350000009</v>
      </c>
      <c r="U4" s="18">
        <f>'Formato 6 a)'!G11</f>
        <v>143262.94999999553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72504.070000000007</v>
      </c>
      <c r="Q5" s="18">
        <f>'Formato 6 a)'!C12</f>
        <v>0</v>
      </c>
      <c r="R5" s="18">
        <f>'Formato 6 a)'!D12</f>
        <v>72504.070000000007</v>
      </c>
      <c r="S5" s="18">
        <f>'Formato 6 a)'!E12</f>
        <v>72000</v>
      </c>
      <c r="T5" s="18">
        <f>'Formato 6 a)'!F12</f>
        <v>72000</v>
      </c>
      <c r="U5" s="18">
        <f>'Formato 6 a)'!G12</f>
        <v>504.07000000000698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12418057.800000004</v>
      </c>
      <c r="Q6" s="18">
        <f>'Formato 6 a)'!C13</f>
        <v>233025.88999999501</v>
      </c>
      <c r="R6" s="18">
        <f>'Formato 6 a)'!D13</f>
        <v>12651083.689999999</v>
      </c>
      <c r="S6" s="18">
        <f>'Formato 6 a)'!E13</f>
        <v>12033855.750000004</v>
      </c>
      <c r="T6" s="18">
        <f>'Formato 6 a)'!F13</f>
        <v>12033855.750000004</v>
      </c>
      <c r="U6" s="18">
        <f>'Formato 6 a)'!G13</f>
        <v>617227.93999999575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19800144.880000006</v>
      </c>
      <c r="Q7" s="18">
        <f>'Formato 6 a)'!C14</f>
        <v>-1289794.1100000143</v>
      </c>
      <c r="R7" s="18">
        <f>'Formato 6 a)'!D14</f>
        <v>18510350.769999992</v>
      </c>
      <c r="S7" s="18">
        <f>'Formato 6 a)'!E14</f>
        <v>17807757.574999992</v>
      </c>
      <c r="T7" s="18">
        <f>'Formato 6 a)'!F14</f>
        <v>17807757.574999992</v>
      </c>
      <c r="U7" s="18">
        <f>'Formato 6 a)'!G14</f>
        <v>702593.1950000003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21538880.979999997</v>
      </c>
      <c r="Q8" s="18">
        <f>'Formato 6 a)'!C15</f>
        <v>3105770.570000004</v>
      </c>
      <c r="R8" s="18">
        <f>'Formato 6 a)'!D15</f>
        <v>24644651.550000001</v>
      </c>
      <c r="S8" s="18">
        <f>'Formato 6 a)'!E15</f>
        <v>23070588.069999997</v>
      </c>
      <c r="T8" s="18">
        <f>'Formato 6 a)'!F15</f>
        <v>23070588.069999997</v>
      </c>
      <c r="U8" s="18">
        <f>'Formato 6 a)'!G15</f>
        <v>1574063.4800000042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96482023.739999995</v>
      </c>
      <c r="Q11" s="18">
        <f>'Formato 6 a)'!C18</f>
        <v>-31056899.179999996</v>
      </c>
      <c r="R11" s="18">
        <f>'Formato 6 a)'!D18</f>
        <v>65425124.560000002</v>
      </c>
      <c r="S11" s="18">
        <f>'Formato 6 a)'!E18</f>
        <v>43535262.192899995</v>
      </c>
      <c r="T11" s="18">
        <f>'Formato 6 a)'!F18</f>
        <v>43535262.192899995</v>
      </c>
      <c r="U11" s="18">
        <f>'Formato 6 a)'!G18</f>
        <v>25889862.367099993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1678076.0899999996</v>
      </c>
      <c r="Q12" s="18">
        <f>'Formato 6 a)'!C19</f>
        <v>-84102.149999999674</v>
      </c>
      <c r="R12" s="18">
        <f>'Formato 6 a)'!D19</f>
        <v>1593973.94</v>
      </c>
      <c r="S12" s="18">
        <f>'Formato 6 a)'!E19</f>
        <v>1509734.8299999996</v>
      </c>
      <c r="T12" s="18">
        <f>'Formato 6 a)'!F19</f>
        <v>1509734.8299999996</v>
      </c>
      <c r="U12" s="18">
        <f>'Formato 6 a)'!G19</f>
        <v>84239.110000000335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416751.86</v>
      </c>
      <c r="Q13" s="18">
        <f>'Formato 6 a)'!C20</f>
        <v>-27877.669999999925</v>
      </c>
      <c r="R13" s="18">
        <f>'Formato 6 a)'!D20</f>
        <v>388874.19000000006</v>
      </c>
      <c r="S13" s="18">
        <f>'Formato 6 a)'!E20</f>
        <v>323329.52999999997</v>
      </c>
      <c r="T13" s="18">
        <f>'Formato 6 a)'!F20</f>
        <v>323329.52999999997</v>
      </c>
      <c r="U13" s="18">
        <f>'Formato 6 a)'!G20</f>
        <v>65544.660000000091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547705.65</v>
      </c>
      <c r="Q14" s="18">
        <f>'Formato 6 a)'!C21</f>
        <v>-17757.70000000007</v>
      </c>
      <c r="R14" s="18">
        <f>'Formato 6 a)'!D21</f>
        <v>529947.94999999995</v>
      </c>
      <c r="S14" s="18">
        <f>'Formato 6 a)'!E21</f>
        <v>458841.67</v>
      </c>
      <c r="T14" s="18">
        <f>'Formato 6 a)'!F21</f>
        <v>458841.67</v>
      </c>
      <c r="U14" s="18">
        <f>'Formato 6 a)'!G21</f>
        <v>71106.27999999997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19836850.289999995</v>
      </c>
      <c r="Q15" s="18">
        <f>'Formato 6 a)'!C22</f>
        <v>4032644.9800000042</v>
      </c>
      <c r="R15" s="18">
        <f>'Formato 6 a)'!D22</f>
        <v>23869495.27</v>
      </c>
      <c r="S15" s="18">
        <f>'Formato 6 a)'!E22</f>
        <v>13236408.729999999</v>
      </c>
      <c r="T15" s="18">
        <f>'Formato 6 a)'!F22</f>
        <v>13236408.729999999</v>
      </c>
      <c r="U15" s="18">
        <f>'Formato 6 a)'!G22</f>
        <v>14633086.539999994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59882211.479999997</v>
      </c>
      <c r="Q16" s="18">
        <f>'Formato 6 a)'!C23</f>
        <v>-34875682.439999998</v>
      </c>
      <c r="R16" s="18">
        <f>'Formato 6 a)'!D23</f>
        <v>25006529.039999995</v>
      </c>
      <c r="S16" s="18">
        <f>'Formato 6 a)'!E23</f>
        <v>14643951.899899999</v>
      </c>
      <c r="T16" s="18">
        <f>'Formato 6 a)'!F23</f>
        <v>14643951.899899999</v>
      </c>
      <c r="U16" s="18">
        <f>'Formato 6 a)'!G23</f>
        <v>10362577.140099997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9953163.0999999996</v>
      </c>
      <c r="Q17" s="18">
        <f>'Formato 6 a)'!C24</f>
        <v>2254.3199999984354</v>
      </c>
      <c r="R17" s="18">
        <f>'Formato 6 a)'!D24</f>
        <v>9955417.4199999981</v>
      </c>
      <c r="S17" s="18">
        <f>'Formato 6 a)'!E24</f>
        <v>9496604.6399999987</v>
      </c>
      <c r="T17" s="18">
        <f>'Formato 6 a)'!F24</f>
        <v>9496604.6399999987</v>
      </c>
      <c r="U17" s="18">
        <f>'Formato 6 a)'!G24</f>
        <v>458812.77999999933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2129018.12</v>
      </c>
      <c r="Q18" s="18">
        <f>'Formato 6 a)'!C25</f>
        <v>-117568.01999999979</v>
      </c>
      <c r="R18" s="18">
        <f>'Formato 6 a)'!D25</f>
        <v>2011450.1000000003</v>
      </c>
      <c r="S18" s="18">
        <f>'Formato 6 a)'!E25</f>
        <v>1943266.0500000003</v>
      </c>
      <c r="T18" s="18">
        <f>'Formato 6 a)'!F25</f>
        <v>1943266.0500000003</v>
      </c>
      <c r="U18" s="18">
        <f>'Formato 6 a)'!G25</f>
        <v>68184.050000000047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2038247.1500000004</v>
      </c>
      <c r="Q20" s="18">
        <f>'Formato 6 a)'!C27</f>
        <v>31189.499999999534</v>
      </c>
      <c r="R20" s="18">
        <f>'Formato 6 a)'!D27</f>
        <v>2069436.65</v>
      </c>
      <c r="S20" s="18">
        <f>'Formato 6 a)'!E27</f>
        <v>1923124.8430000003</v>
      </c>
      <c r="T20" s="18">
        <f>'Formato 6 a)'!F27</f>
        <v>1923124.8430000003</v>
      </c>
      <c r="U20" s="18">
        <f>'Formato 6 a)'!G27</f>
        <v>146311.80699999956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135443264.41</v>
      </c>
      <c r="Q21" s="18">
        <f>'Formato 6 a)'!C28</f>
        <v>9056211.1599999964</v>
      </c>
      <c r="R21" s="18">
        <f>'Formato 6 a)'!D28</f>
        <v>144499475.56999999</v>
      </c>
      <c r="S21" s="18">
        <f>'Formato 6 a)'!E28</f>
        <v>140658440.15000004</v>
      </c>
      <c r="T21" s="18">
        <f>'Formato 6 a)'!F28</f>
        <v>140658440.15000004</v>
      </c>
      <c r="U21" s="18">
        <f>'Formato 6 a)'!G28</f>
        <v>3841035.4200000004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80920291.710000008</v>
      </c>
      <c r="Q22" s="18">
        <f>'Formato 6 a)'!C29</f>
        <v>6697641.6299999952</v>
      </c>
      <c r="R22" s="18">
        <f>'Formato 6 a)'!D29</f>
        <v>87617933.340000004</v>
      </c>
      <c r="S22" s="18">
        <f>'Formato 6 a)'!E29</f>
        <v>85984147.810000002</v>
      </c>
      <c r="T22" s="18">
        <f>'Formato 6 a)'!F29</f>
        <v>85984147.810000002</v>
      </c>
      <c r="U22" s="18">
        <f>'Formato 6 a)'!G29</f>
        <v>1633785.5300000012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1760237.6300000001</v>
      </c>
      <c r="Q23" s="18">
        <f>'Formato 6 a)'!C30</f>
        <v>-414622.39000000013</v>
      </c>
      <c r="R23" s="18">
        <f>'Formato 6 a)'!D30</f>
        <v>1345615.24</v>
      </c>
      <c r="S23" s="18">
        <f>'Formato 6 a)'!E30</f>
        <v>1127217.22</v>
      </c>
      <c r="T23" s="18">
        <f>'Formato 6 a)'!F30</f>
        <v>1127217.22</v>
      </c>
      <c r="U23" s="18">
        <f>'Formato 6 a)'!G30</f>
        <v>218398.02000000002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6930212.4200000009</v>
      </c>
      <c r="Q24" s="18">
        <f>'Formato 6 a)'!C31</f>
        <v>216343.52000000048</v>
      </c>
      <c r="R24" s="18">
        <f>'Formato 6 a)'!D31</f>
        <v>7146555.9400000013</v>
      </c>
      <c r="S24" s="18">
        <f>'Formato 6 a)'!E31</f>
        <v>6527653.5099999988</v>
      </c>
      <c r="T24" s="18">
        <f>'Formato 6 a)'!F31</f>
        <v>6527653.5099999988</v>
      </c>
      <c r="U24" s="18">
        <f>'Formato 6 a)'!G31</f>
        <v>618902.4300000025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4574934.63</v>
      </c>
      <c r="Q25" s="18">
        <f>'Formato 6 a)'!C32</f>
        <v>861385.50999999978</v>
      </c>
      <c r="R25" s="18">
        <f>'Formato 6 a)'!D32</f>
        <v>5436320.1399999997</v>
      </c>
      <c r="S25" s="18">
        <f>'Formato 6 a)'!E32</f>
        <v>5068878.07</v>
      </c>
      <c r="T25" s="18">
        <f>'Formato 6 a)'!F32</f>
        <v>5068878.07</v>
      </c>
      <c r="U25" s="18">
        <f>'Formato 6 a)'!G32</f>
        <v>367442.06999999937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12976884.9</v>
      </c>
      <c r="Q26" s="18">
        <f>'Formato 6 a)'!C33</f>
        <v>407056.31999999844</v>
      </c>
      <c r="R26" s="18">
        <f>'Formato 6 a)'!D33</f>
        <v>13383941.219999999</v>
      </c>
      <c r="S26" s="18">
        <f>'Formato 6 a)'!E33</f>
        <v>12813962.649999999</v>
      </c>
      <c r="T26" s="18">
        <f>'Formato 6 a)'!F33</f>
        <v>12813962.649999999</v>
      </c>
      <c r="U26" s="18">
        <f>'Formato 6 a)'!G33</f>
        <v>569978.5700000003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2341149</v>
      </c>
      <c r="Q27" s="18">
        <f>'Formato 6 a)'!C34</f>
        <v>260351</v>
      </c>
      <c r="R27" s="18">
        <f>'Formato 6 a)'!D34</f>
        <v>2601500</v>
      </c>
      <c r="S27" s="18">
        <f>'Formato 6 a)'!E34</f>
        <v>2555125.9300000002</v>
      </c>
      <c r="T27" s="18">
        <f>'Formato 6 a)'!F34</f>
        <v>2555125.9300000002</v>
      </c>
      <c r="U27" s="18">
        <f>'Formato 6 a)'!G34</f>
        <v>46374.069999999832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246112.37000000002</v>
      </c>
      <c r="Q28" s="18">
        <f>'Formato 6 a)'!C35</f>
        <v>-117495.54000000002</v>
      </c>
      <c r="R28" s="18">
        <f>'Formato 6 a)'!D35</f>
        <v>128616.83</v>
      </c>
      <c r="S28" s="18">
        <f>'Formato 6 a)'!E35</f>
        <v>75325.87</v>
      </c>
      <c r="T28" s="18">
        <f>'Formato 6 a)'!F35</f>
        <v>75325.87</v>
      </c>
      <c r="U28" s="18">
        <f>'Formato 6 a)'!G35</f>
        <v>53290.960000000006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408039.82</v>
      </c>
      <c r="Q29" s="18">
        <f>'Formato 6 a)'!C36</f>
        <v>-47656.860000000044</v>
      </c>
      <c r="R29" s="18">
        <f>'Formato 6 a)'!D36</f>
        <v>360382.95999999996</v>
      </c>
      <c r="S29" s="18">
        <f>'Formato 6 a)'!E36</f>
        <v>313676.72000000003</v>
      </c>
      <c r="T29" s="18">
        <f>'Formato 6 a)'!F36</f>
        <v>313676.72000000003</v>
      </c>
      <c r="U29" s="18">
        <f>'Formato 6 a)'!G36</f>
        <v>46706.239999999932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25285401.929999996</v>
      </c>
      <c r="Q30" s="18">
        <f>'Formato 6 a)'!C37</f>
        <v>1193207.9700000025</v>
      </c>
      <c r="R30" s="18">
        <f>'Formato 6 a)'!D37</f>
        <v>26478609.899999999</v>
      </c>
      <c r="S30" s="18">
        <f>'Formato 6 a)'!E37</f>
        <v>26192452.370000001</v>
      </c>
      <c r="T30" s="18">
        <f>'Formato 6 a)'!F37</f>
        <v>26192452.370000001</v>
      </c>
      <c r="U30" s="18">
        <f>'Formato 6 a)'!G37</f>
        <v>286157.52999999747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2374447.9300000002</v>
      </c>
      <c r="Q31" s="18">
        <f>'Formato 6 a)'!C38</f>
        <v>-1061029.83</v>
      </c>
      <c r="R31" s="18">
        <f>'Formato 6 a)'!D38</f>
        <v>1313418.1000000001</v>
      </c>
      <c r="S31" s="18">
        <f>'Formato 6 a)'!E38</f>
        <v>736288.90999999992</v>
      </c>
      <c r="T31" s="18">
        <f>'Formato 6 a)'!F38</f>
        <v>736288.90999999992</v>
      </c>
      <c r="U31" s="18">
        <f>'Formato 6 a)'!G38</f>
        <v>577129.19000000018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725418.1</v>
      </c>
      <c r="Q35" s="18">
        <f>'Formato 6 a)'!C42</f>
        <v>50000.000000000116</v>
      </c>
      <c r="R35" s="18">
        <f>'Formato 6 a)'!D42</f>
        <v>775418.10000000009</v>
      </c>
      <c r="S35" s="18">
        <f>'Formato 6 a)'!E42</f>
        <v>698288.90999999992</v>
      </c>
      <c r="T35" s="18">
        <f>'Formato 6 a)'!F42</f>
        <v>698288.90999999992</v>
      </c>
      <c r="U35" s="18">
        <f>'Formato 6 a)'!G42</f>
        <v>77129.190000000177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1649029.83</v>
      </c>
      <c r="Q39" s="18">
        <f>'Formato 6 a)'!C46</f>
        <v>-1111029.83</v>
      </c>
      <c r="R39" s="18">
        <f>'Formato 6 a)'!D46</f>
        <v>538000</v>
      </c>
      <c r="S39" s="18">
        <f>'Formato 6 a)'!E46</f>
        <v>38000</v>
      </c>
      <c r="T39" s="18">
        <f>'Formato 6 a)'!F46</f>
        <v>38000</v>
      </c>
      <c r="U39" s="18">
        <f>'Formato 6 a)'!G46</f>
        <v>500000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27156574.969999999</v>
      </c>
      <c r="Q41" s="18">
        <f>'Formato 6 a)'!C48</f>
        <v>4263294.82</v>
      </c>
      <c r="R41" s="18">
        <f>'Formato 6 a)'!D48</f>
        <v>31419869.789999999</v>
      </c>
      <c r="S41" s="18">
        <f>'Formato 6 a)'!E48</f>
        <v>10990609.67</v>
      </c>
      <c r="T41" s="18">
        <f>'Formato 6 a)'!F48</f>
        <v>10990609.67</v>
      </c>
      <c r="U41" s="18">
        <f>'Formato 6 a)'!G48</f>
        <v>24429260.120000001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3018734.56</v>
      </c>
      <c r="Q42" s="18">
        <f>'Formato 6 a)'!C49</f>
        <v>-257559.02000000002</v>
      </c>
      <c r="R42" s="18">
        <f>'Formato 6 a)'!D49</f>
        <v>2761175.54</v>
      </c>
      <c r="S42" s="18">
        <f>'Formato 6 a)'!E49</f>
        <v>2592756.1900000004</v>
      </c>
      <c r="T42" s="18">
        <f>'Formato 6 a)'!F49</f>
        <v>2592756.1900000004</v>
      </c>
      <c r="U42" s="18">
        <f>'Formato 6 a)'!G49</f>
        <v>168419.34999999963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86700</v>
      </c>
      <c r="Q43" s="18">
        <f>'Formato 6 a)'!C50</f>
        <v>-70708.239999999991</v>
      </c>
      <c r="R43" s="18">
        <f>'Formato 6 a)'!D50</f>
        <v>15991.760000000002</v>
      </c>
      <c r="S43" s="18">
        <f>'Formato 6 a)'!E50</f>
        <v>15991.76</v>
      </c>
      <c r="T43" s="18">
        <f>'Formato 6 a)'!F50</f>
        <v>15991.76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2250000</v>
      </c>
      <c r="Q44" s="18">
        <f>'Formato 6 a)'!C51</f>
        <v>-1350000</v>
      </c>
      <c r="R44" s="18">
        <f>'Formato 6 a)'!D51</f>
        <v>900000</v>
      </c>
      <c r="S44" s="18">
        <f>'Formato 6 a)'!E51</f>
        <v>328167.48</v>
      </c>
      <c r="T44" s="18">
        <f>'Formato 6 a)'!F51</f>
        <v>328167.48</v>
      </c>
      <c r="U44" s="18">
        <f>'Formato 6 a)'!G51</f>
        <v>571832.52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2000000</v>
      </c>
      <c r="Q45" s="18">
        <f>'Formato 6 a)'!C52</f>
        <v>1977472.79</v>
      </c>
      <c r="R45" s="18">
        <f>'Formato 6 a)'!D52</f>
        <v>3977472.79</v>
      </c>
      <c r="S45" s="18">
        <f>'Formato 6 a)'!E52</f>
        <v>3977472.7899999996</v>
      </c>
      <c r="T45" s="18">
        <f>'Formato 6 a)'!F52</f>
        <v>3977472.7899999996</v>
      </c>
      <c r="U45" s="18">
        <f>'Formato 6 a)'!G52</f>
        <v>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15901140.41</v>
      </c>
      <c r="Q47" s="18">
        <f>'Formato 6 a)'!C54</f>
        <v>3382251.4299999997</v>
      </c>
      <c r="R47" s="18">
        <f>'Formato 6 a)'!D54</f>
        <v>19283391.84</v>
      </c>
      <c r="S47" s="18">
        <f>'Formato 6 a)'!E54</f>
        <v>2784221.45</v>
      </c>
      <c r="T47" s="18">
        <f>'Formato 6 a)'!F54</f>
        <v>2784221.4499999997</v>
      </c>
      <c r="U47" s="18">
        <f>'Formato 6 a)'!G54</f>
        <v>20499170.390000001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3900000</v>
      </c>
      <c r="Q49" s="18">
        <f>'Formato 6 a)'!C56</f>
        <v>581837.86000000034</v>
      </c>
      <c r="R49" s="18">
        <f>'Formato 6 a)'!D56</f>
        <v>4481837.8600000003</v>
      </c>
      <c r="S49" s="18">
        <f>'Formato 6 a)'!E56</f>
        <v>1292000</v>
      </c>
      <c r="T49" s="18">
        <f>'Formato 6 a)'!F56</f>
        <v>1292000</v>
      </c>
      <c r="U49" s="18">
        <f>'Formato 6 a)'!G56</f>
        <v>3189837.8600000003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73594140.400000006</v>
      </c>
      <c r="Q51" s="18">
        <f>'Formato 6 a)'!C58</f>
        <v>85912484.800000042</v>
      </c>
      <c r="R51" s="18">
        <f>'Formato 6 a)'!D58</f>
        <v>159506625.20000005</v>
      </c>
      <c r="S51" s="18">
        <f>'Formato 6 a)'!E58</f>
        <v>79998201.540000021</v>
      </c>
      <c r="T51" s="18">
        <f>'Formato 6 a)'!F58</f>
        <v>79998201.540000021</v>
      </c>
      <c r="U51" s="18">
        <f>'Formato 6 a)'!G58</f>
        <v>131556042.30000004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54900000.000000015</v>
      </c>
      <c r="Q52" s="18">
        <f>'Formato 6 a)'!C59</f>
        <v>79821176.310000047</v>
      </c>
      <c r="R52" s="18">
        <f>'Formato 6 a)'!D59</f>
        <v>134721176.31000006</v>
      </c>
      <c r="S52" s="18">
        <f>'Formato 6 a)'!E59</f>
        <v>67351043.040000021</v>
      </c>
      <c r="T52" s="18">
        <f>'Formato 6 a)'!F59</f>
        <v>67351043.040000021</v>
      </c>
      <c r="U52" s="18">
        <f>'Formato 6 a)'!G59</f>
        <v>109793005.24000004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18694140.399999999</v>
      </c>
      <c r="Q53" s="18">
        <f>'Formato 6 a)'!C60</f>
        <v>6091308.4900000021</v>
      </c>
      <c r="R53" s="18">
        <f>'Formato 6 a)'!D60</f>
        <v>24785448.890000001</v>
      </c>
      <c r="S53" s="18">
        <f>'Formato 6 a)'!E60</f>
        <v>12647158.5</v>
      </c>
      <c r="T53" s="18">
        <f>'Formato 6 a)'!F60</f>
        <v>12647158.5</v>
      </c>
      <c r="U53" s="18">
        <f>'Formato 6 a)'!G60</f>
        <v>21763037.060000002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211789133.80000001</v>
      </c>
      <c r="R55" s="18">
        <f>'Formato 6 a)'!D62</f>
        <v>211789133.80000001</v>
      </c>
      <c r="S55" s="18">
        <f>'Formato 6 a)'!E62</f>
        <v>43555999.999999978</v>
      </c>
      <c r="T55" s="18">
        <f>'Formato 6 a)'!F62</f>
        <v>43555999.999999978</v>
      </c>
      <c r="U55" s="18">
        <f>'Formato 6 a)'!G62</f>
        <v>168233133.80000004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76671351.560000002</v>
      </c>
      <c r="R59" s="18">
        <f>'Formato 6 a)'!D66</f>
        <v>76671351.560000002</v>
      </c>
      <c r="S59" s="18">
        <f>'Formato 6 a)'!E66</f>
        <v>43556000</v>
      </c>
      <c r="T59" s="18">
        <f>'Formato 6 a)'!F66</f>
        <v>43556000</v>
      </c>
      <c r="U59" s="18">
        <f>'Formato 6 a)'!G66</f>
        <v>33115351.560000002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135117782.24000001</v>
      </c>
      <c r="R62" s="18">
        <f>'Formato 6 a)'!D69</f>
        <v>135117782.24000001</v>
      </c>
      <c r="S62" s="18">
        <f>'Formato 6 a)'!E69</f>
        <v>-2.0489096641540527E-8</v>
      </c>
      <c r="T62" s="18">
        <f>'Formato 6 a)'!F69</f>
        <v>-2.0489096641540527E-8</v>
      </c>
      <c r="U62" s="18">
        <f>'Formato 6 a)'!G69</f>
        <v>135117782.24000004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44551806.629999995</v>
      </c>
      <c r="R64" s="18">
        <f>'Formato 6 a)'!D71</f>
        <v>44551806.629999995</v>
      </c>
      <c r="S64" s="18">
        <f>'Formato 6 a)'!E71</f>
        <v>29970595.300000001</v>
      </c>
      <c r="T64" s="18">
        <f>'Formato 6 a)'!F71</f>
        <v>29970595.300000001</v>
      </c>
      <c r="U64" s="18">
        <f>'Formato 6 a)'!G71</f>
        <v>14581211.329999994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44551806.629999995</v>
      </c>
      <c r="R67" s="18">
        <f>'Formato 6 a)'!D74</f>
        <v>44551806.629999995</v>
      </c>
      <c r="S67" s="18">
        <f>'Formato 6 a)'!E74</f>
        <v>29970595.300000001</v>
      </c>
      <c r="T67" s="18">
        <f>'Formato 6 a)'!F74</f>
        <v>29970595.300000001</v>
      </c>
      <c r="U67" s="18">
        <f>'Formato 6 a)'!G74</f>
        <v>14581211.329999994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136701828.80000001</v>
      </c>
      <c r="Q76">
        <f>'Formato 6 a)'!C84</f>
        <v>30863989.129999958</v>
      </c>
      <c r="R76">
        <f>'Formato 6 a)'!D84</f>
        <v>175565817.92999995</v>
      </c>
      <c r="S76">
        <f>'Formato 6 a)'!E84</f>
        <v>115518199.28999996</v>
      </c>
      <c r="T76">
        <f>'Formato 6 a)'!F84</f>
        <v>115518199.28999996</v>
      </c>
      <c r="U76">
        <f>'Formato 6 a)'!G84</f>
        <v>60047618.639999986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4000000</v>
      </c>
      <c r="S85">
        <f>'Formato 6 a)'!E93</f>
        <v>0</v>
      </c>
      <c r="T85">
        <f>'Formato 6 a)'!F93</f>
        <v>0</v>
      </c>
      <c r="U85">
        <f>'Formato 6 a)'!G93</f>
        <v>4000000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4000000</v>
      </c>
      <c r="S89">
        <f>'Formato 6 a)'!E97</f>
        <v>0</v>
      </c>
      <c r="T89">
        <f>'Formato 6 a)'!F97</f>
        <v>0</v>
      </c>
      <c r="U89">
        <f>'Formato 6 a)'!G97</f>
        <v>4000000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4000000</v>
      </c>
      <c r="S115">
        <f>'Formato 6 a)'!E123</f>
        <v>0</v>
      </c>
      <c r="T115">
        <f>'Formato 6 a)'!F123</f>
        <v>0</v>
      </c>
      <c r="U115">
        <f>'Formato 6 a)'!G123</f>
        <v>4000000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4000000</v>
      </c>
      <c r="S121">
        <f>'Formato 6 a)'!E129</f>
        <v>0</v>
      </c>
      <c r="T121">
        <f>'Formato 6 a)'!F129</f>
        <v>0</v>
      </c>
      <c r="U121">
        <f>'Formato 6 a)'!G129</f>
        <v>4000000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136701828.80000001</v>
      </c>
      <c r="Q125">
        <f>'Formato 6 a)'!C133</f>
        <v>30863989.129999958</v>
      </c>
      <c r="R125">
        <f>'Formato 6 a)'!D133</f>
        <v>167565817.92999995</v>
      </c>
      <c r="S125">
        <f>'Formato 6 a)'!E133</f>
        <v>115518199.28999996</v>
      </c>
      <c r="T125">
        <f>'Formato 6 a)'!F133</f>
        <v>115518199.28999996</v>
      </c>
      <c r="U125">
        <f>'Formato 6 a)'!G133</f>
        <v>52047618.639999986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101131828.8</v>
      </c>
      <c r="Q126">
        <f>'Formato 6 a)'!C134</f>
        <v>28306263.479999959</v>
      </c>
      <c r="R126">
        <f>'Formato 6 a)'!D134</f>
        <v>129438092.27999996</v>
      </c>
      <c r="S126">
        <f>'Formato 6 a)'!E134</f>
        <v>87015220.309999973</v>
      </c>
      <c r="T126">
        <f>'Formato 6 a)'!F134</f>
        <v>87015220.309999973</v>
      </c>
      <c r="U126">
        <f>'Formato 6 a)'!G134</f>
        <v>42422871.969999984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35570000</v>
      </c>
      <c r="Q127">
        <f>'Formato 6 a)'!C135</f>
        <v>2557725.6499999985</v>
      </c>
      <c r="R127">
        <f>'Formato 6 a)'!D135</f>
        <v>38127725.649999999</v>
      </c>
      <c r="S127">
        <f>'Formato 6 a)'!E135</f>
        <v>28502978.979999997</v>
      </c>
      <c r="T127">
        <f>'Formato 6 a)'!F135</f>
        <v>28502978.979999997</v>
      </c>
      <c r="U127">
        <f>'Formato 6 a)'!G135</f>
        <v>9624746.6700000018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586603556.62999988</v>
      </c>
      <c r="Q150">
        <f>'Formato 6 a)'!C159</f>
        <v>354318991.32999998</v>
      </c>
      <c r="R150">
        <f>'Formato 6 a)'!D159</f>
        <v>948922547.96000004</v>
      </c>
      <c r="S150">
        <f>'Formato 6 a)'!E159</f>
        <v>576772221.79790008</v>
      </c>
      <c r="T150">
        <f>'Formato 6 a)'!F159</f>
        <v>576772221.79790008</v>
      </c>
      <c r="U150">
        <f>'Formato 6 a)'!G159</f>
        <v>432197944.8021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144"/>
  <sheetViews>
    <sheetView showGridLines="0" zoomScale="90" zoomScaleNormal="90" zoomScalePageLayoutView="90" workbookViewId="0">
      <selection activeCell="D51" sqref="D5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6" t="s">
        <v>3290</v>
      </c>
      <c r="B1" s="176"/>
      <c r="C1" s="176"/>
      <c r="D1" s="176"/>
      <c r="E1" s="176"/>
      <c r="F1" s="176"/>
      <c r="G1" s="176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277</v>
      </c>
      <c r="B3" s="161"/>
      <c r="C3" s="161"/>
      <c r="D3" s="161"/>
      <c r="E3" s="161"/>
      <c r="F3" s="161"/>
      <c r="G3" s="162"/>
    </row>
    <row r="4" spans="1:7" x14ac:dyDescent="0.25">
      <c r="A4" s="160" t="s">
        <v>431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31 de diciembre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0</v>
      </c>
      <c r="B7" s="174" t="s">
        <v>279</v>
      </c>
      <c r="C7" s="174"/>
      <c r="D7" s="174"/>
      <c r="E7" s="174"/>
      <c r="F7" s="174"/>
      <c r="G7" s="178" t="s">
        <v>280</v>
      </c>
    </row>
    <row r="8" spans="1:7" ht="30" x14ac:dyDescent="0.25">
      <c r="A8" s="173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7"/>
    </row>
    <row r="9" spans="1:7" x14ac:dyDescent="0.25">
      <c r="A9" s="52" t="s">
        <v>440</v>
      </c>
      <c r="B9" s="59">
        <f>SUM(B59:GASTO_NE_FIN_01)</f>
        <v>449901727.82999998</v>
      </c>
      <c r="C9" s="59">
        <f>SUM(C59:GASTO_NE_FIN_02)</f>
        <v>358780133.27000004</v>
      </c>
      <c r="D9" s="59">
        <f>SUM(D59:GASTO_NE_FIN_03)</f>
        <v>773356730.02999997</v>
      </c>
      <c r="E9" s="59">
        <f>SUM(E59:GASTO_NE_FIN_04)</f>
        <v>461254022.5079</v>
      </c>
      <c r="F9" s="59">
        <f>SUM(F59:GASTO_NE_FIN_05)</f>
        <v>461254022.5079</v>
      </c>
      <c r="G9" s="59">
        <f>SUM(G59:GASTO_NE_FIN_06)</f>
        <v>312102707.52210009</v>
      </c>
    </row>
    <row r="10" spans="1:7" x14ac:dyDescent="0.25">
      <c r="A10" s="55"/>
      <c r="B10" s="61"/>
      <c r="C10" s="61"/>
      <c r="D10" s="61"/>
      <c r="E10" s="61"/>
      <c r="F10" s="61"/>
      <c r="G10" s="61"/>
    </row>
    <row r="11" spans="1:7" x14ac:dyDescent="0.25">
      <c r="A11" s="55"/>
      <c r="B11" s="61"/>
      <c r="C11" s="61"/>
      <c r="D11" s="61"/>
      <c r="E11" s="61"/>
      <c r="F11" s="61"/>
      <c r="G11" s="61"/>
    </row>
    <row r="12" spans="1:7" x14ac:dyDescent="0.25">
      <c r="A12" s="55"/>
      <c r="B12" s="61"/>
      <c r="C12" s="61"/>
      <c r="D12" s="61"/>
      <c r="E12" s="61"/>
      <c r="F12" s="61"/>
      <c r="G12" s="61"/>
    </row>
    <row r="13" spans="1:7" x14ac:dyDescent="0.25">
      <c r="A13" s="55"/>
      <c r="B13" s="61"/>
      <c r="C13" s="61"/>
      <c r="D13" s="61"/>
      <c r="E13" s="61"/>
      <c r="F13" s="61"/>
      <c r="G13" s="61"/>
    </row>
    <row r="14" spans="1:7" x14ac:dyDescent="0.25">
      <c r="A14" s="55"/>
      <c r="B14" s="61"/>
      <c r="C14" s="61"/>
      <c r="D14" s="61"/>
      <c r="E14" s="61"/>
      <c r="F14" s="61"/>
      <c r="G14" s="61"/>
    </row>
    <row r="15" spans="1:7" x14ac:dyDescent="0.25">
      <c r="A15" s="55"/>
      <c r="B15" s="61"/>
      <c r="C15" s="61"/>
      <c r="D15" s="61"/>
      <c r="E15" s="61"/>
      <c r="F15" s="61"/>
      <c r="G15" s="61"/>
    </row>
    <row r="16" spans="1:7" x14ac:dyDescent="0.25">
      <c r="A16" s="55"/>
      <c r="B16" s="61"/>
      <c r="C16" s="61"/>
      <c r="D16" s="61"/>
      <c r="E16" s="61"/>
      <c r="F16" s="61"/>
      <c r="G16" s="61"/>
    </row>
    <row r="17" spans="1:7" x14ac:dyDescent="0.25">
      <c r="A17" s="55"/>
      <c r="B17" s="61"/>
      <c r="C17" s="61"/>
      <c r="D17" s="61"/>
      <c r="E17" s="61"/>
      <c r="F17" s="61"/>
      <c r="G17" s="61"/>
    </row>
    <row r="18" spans="1:7" x14ac:dyDescent="0.25">
      <c r="A18" s="55"/>
      <c r="B18" s="61"/>
      <c r="C18" s="61"/>
      <c r="D18" s="61"/>
      <c r="E18" s="61"/>
      <c r="F18" s="61"/>
      <c r="G18" s="61"/>
    </row>
    <row r="19" spans="1:7" x14ac:dyDescent="0.25">
      <c r="A19" s="55"/>
      <c r="B19" s="61"/>
      <c r="C19" s="61"/>
      <c r="D19" s="61"/>
      <c r="E19" s="61"/>
      <c r="F19" s="61"/>
      <c r="G19" s="61"/>
    </row>
    <row r="20" spans="1:7" x14ac:dyDescent="0.25">
      <c r="A20" s="55"/>
      <c r="B20" s="61"/>
      <c r="C20" s="61"/>
      <c r="D20" s="61"/>
      <c r="E20" s="61"/>
      <c r="F20" s="61"/>
      <c r="G20" s="61"/>
    </row>
    <row r="21" spans="1:7" x14ac:dyDescent="0.25">
      <c r="A21" s="55"/>
      <c r="B21" s="61"/>
      <c r="C21" s="61"/>
      <c r="D21" s="61"/>
      <c r="E21" s="61"/>
      <c r="F21" s="61"/>
      <c r="G21" s="61"/>
    </row>
    <row r="22" spans="1:7" x14ac:dyDescent="0.25">
      <c r="A22" s="55"/>
      <c r="B22" s="61"/>
      <c r="C22" s="61"/>
      <c r="D22" s="61"/>
      <c r="E22" s="61"/>
      <c r="F22" s="61"/>
      <c r="G22" s="61"/>
    </row>
    <row r="23" spans="1:7" x14ac:dyDescent="0.25">
      <c r="A23" s="55"/>
      <c r="B23" s="61"/>
      <c r="C23" s="61"/>
      <c r="D23" s="61"/>
      <c r="E23" s="61"/>
      <c r="F23" s="61"/>
      <c r="G23" s="61"/>
    </row>
    <row r="24" spans="1:7" x14ac:dyDescent="0.25">
      <c r="A24" s="55"/>
      <c r="B24" s="61"/>
      <c r="C24" s="61"/>
      <c r="D24" s="61"/>
      <c r="E24" s="61"/>
      <c r="F24" s="61"/>
      <c r="G24" s="61"/>
    </row>
    <row r="25" spans="1:7" x14ac:dyDescent="0.25">
      <c r="A25" s="55"/>
      <c r="B25" s="61"/>
      <c r="C25" s="61"/>
      <c r="D25" s="61"/>
      <c r="E25" s="61"/>
      <c r="F25" s="61"/>
      <c r="G25" s="61"/>
    </row>
    <row r="26" spans="1:7" x14ac:dyDescent="0.25">
      <c r="A26" s="55"/>
      <c r="B26" s="61"/>
      <c r="C26" s="61"/>
      <c r="D26" s="61"/>
      <c r="E26" s="61"/>
      <c r="F26" s="61"/>
      <c r="G26" s="61"/>
    </row>
    <row r="27" spans="1:7" x14ac:dyDescent="0.25">
      <c r="A27" s="55"/>
      <c r="B27" s="61"/>
      <c r="C27" s="61"/>
      <c r="D27" s="61"/>
      <c r="E27" s="61"/>
      <c r="F27" s="61"/>
      <c r="G27" s="61"/>
    </row>
    <row r="28" spans="1:7" x14ac:dyDescent="0.25">
      <c r="A28" s="55"/>
      <c r="B28" s="61"/>
      <c r="C28" s="61"/>
      <c r="D28" s="61"/>
      <c r="E28" s="61"/>
      <c r="F28" s="61"/>
      <c r="G28" s="61"/>
    </row>
    <row r="29" spans="1:7" x14ac:dyDescent="0.25">
      <c r="A29" s="55"/>
      <c r="B29" s="61"/>
      <c r="C29" s="61"/>
      <c r="D29" s="61"/>
      <c r="E29" s="61"/>
      <c r="F29" s="61"/>
      <c r="G29" s="61"/>
    </row>
    <row r="30" spans="1:7" x14ac:dyDescent="0.25">
      <c r="A30" s="55"/>
      <c r="B30" s="61"/>
      <c r="C30" s="61"/>
      <c r="D30" s="61"/>
      <c r="E30" s="61"/>
      <c r="F30" s="61"/>
      <c r="G30" s="61"/>
    </row>
    <row r="31" spans="1:7" x14ac:dyDescent="0.25">
      <c r="A31" s="55"/>
      <c r="B31" s="61"/>
      <c r="C31" s="61"/>
      <c r="D31" s="61"/>
      <c r="E31" s="61"/>
      <c r="F31" s="61"/>
      <c r="G31" s="61"/>
    </row>
    <row r="32" spans="1:7" x14ac:dyDescent="0.25">
      <c r="A32" s="55"/>
      <c r="B32" s="61"/>
      <c r="C32" s="61"/>
      <c r="D32" s="61"/>
      <c r="E32" s="61"/>
      <c r="F32" s="61"/>
      <c r="G32" s="61"/>
    </row>
    <row r="33" spans="1:7" x14ac:dyDescent="0.25">
      <c r="A33" s="55"/>
      <c r="B33" s="61"/>
      <c r="C33" s="61"/>
      <c r="D33" s="61"/>
      <c r="E33" s="61"/>
      <c r="F33" s="61"/>
      <c r="G33" s="61"/>
    </row>
    <row r="34" spans="1:7" x14ac:dyDescent="0.25">
      <c r="A34" s="55"/>
      <c r="B34" s="61"/>
      <c r="C34" s="61"/>
      <c r="D34" s="61"/>
      <c r="E34" s="61"/>
      <c r="F34" s="61"/>
      <c r="G34" s="61"/>
    </row>
    <row r="35" spans="1:7" x14ac:dyDescent="0.25">
      <c r="A35" s="55"/>
      <c r="B35" s="61"/>
      <c r="C35" s="61"/>
      <c r="D35" s="61"/>
      <c r="E35" s="61"/>
      <c r="F35" s="61"/>
      <c r="G35" s="61"/>
    </row>
    <row r="36" spans="1:7" x14ac:dyDescent="0.25">
      <c r="A36" s="55"/>
      <c r="B36" s="61"/>
      <c r="C36" s="61"/>
      <c r="D36" s="61"/>
      <c r="E36" s="61"/>
      <c r="F36" s="61"/>
      <c r="G36" s="61"/>
    </row>
    <row r="37" spans="1:7" x14ac:dyDescent="0.25">
      <c r="A37" s="55"/>
      <c r="B37" s="61"/>
      <c r="C37" s="61"/>
      <c r="D37" s="61"/>
      <c r="E37" s="61"/>
      <c r="F37" s="61"/>
      <c r="G37" s="61"/>
    </row>
    <row r="38" spans="1:7" x14ac:dyDescent="0.25">
      <c r="A38" s="55"/>
      <c r="B38" s="61"/>
      <c r="C38" s="61"/>
      <c r="D38" s="61"/>
      <c r="E38" s="61"/>
      <c r="F38" s="61"/>
      <c r="G38" s="61"/>
    </row>
    <row r="39" spans="1:7" x14ac:dyDescent="0.25">
      <c r="A39" s="55"/>
      <c r="B39" s="61"/>
      <c r="C39" s="61"/>
      <c r="D39" s="61"/>
      <c r="E39" s="61"/>
      <c r="F39" s="61"/>
      <c r="G39" s="61"/>
    </row>
    <row r="40" spans="1:7" x14ac:dyDescent="0.25">
      <c r="A40" s="55"/>
      <c r="B40" s="61"/>
      <c r="C40" s="61"/>
      <c r="D40" s="61"/>
      <c r="E40" s="61"/>
      <c r="F40" s="61"/>
      <c r="G40" s="61"/>
    </row>
    <row r="41" spans="1:7" x14ac:dyDescent="0.25">
      <c r="A41" s="55"/>
      <c r="B41" s="61"/>
      <c r="C41" s="61"/>
      <c r="D41" s="61"/>
      <c r="E41" s="61"/>
      <c r="F41" s="61"/>
      <c r="G41" s="61"/>
    </row>
    <row r="42" spans="1:7" x14ac:dyDescent="0.25">
      <c r="A42" s="55"/>
      <c r="B42" s="61"/>
      <c r="C42" s="61"/>
      <c r="D42" s="61"/>
      <c r="E42" s="61"/>
      <c r="F42" s="61"/>
      <c r="G42" s="61"/>
    </row>
    <row r="43" spans="1:7" x14ac:dyDescent="0.25">
      <c r="A43" s="55"/>
      <c r="B43" s="61"/>
      <c r="C43" s="61"/>
      <c r="D43" s="61"/>
      <c r="E43" s="61"/>
      <c r="F43" s="61"/>
      <c r="G43" s="61"/>
    </row>
    <row r="44" spans="1:7" x14ac:dyDescent="0.25">
      <c r="A44" s="55"/>
      <c r="B44" s="61"/>
      <c r="C44" s="61"/>
      <c r="D44" s="61"/>
      <c r="E44" s="61"/>
      <c r="F44" s="61"/>
      <c r="G44" s="61"/>
    </row>
    <row r="45" spans="1:7" x14ac:dyDescent="0.25">
      <c r="A45" s="55"/>
      <c r="B45" s="61"/>
      <c r="C45" s="61"/>
      <c r="D45" s="61"/>
      <c r="E45" s="61"/>
      <c r="F45" s="61"/>
      <c r="G45" s="61"/>
    </row>
    <row r="46" spans="1:7" x14ac:dyDescent="0.25">
      <c r="A46" s="55"/>
      <c r="B46" s="61"/>
      <c r="C46" s="61"/>
      <c r="D46" s="61"/>
      <c r="E46" s="61"/>
      <c r="F46" s="61"/>
      <c r="G46" s="61"/>
    </row>
    <row r="47" spans="1:7" x14ac:dyDescent="0.25">
      <c r="A47" s="55"/>
      <c r="B47" s="61"/>
      <c r="C47" s="61"/>
      <c r="D47" s="61"/>
      <c r="E47" s="61"/>
      <c r="F47" s="61"/>
      <c r="G47" s="61"/>
    </row>
    <row r="48" spans="1:7" x14ac:dyDescent="0.25">
      <c r="A48" s="55"/>
      <c r="B48" s="61"/>
      <c r="C48" s="61"/>
      <c r="D48" s="61"/>
      <c r="E48" s="61"/>
      <c r="F48" s="61"/>
      <c r="G48" s="61"/>
    </row>
    <row r="49" spans="1:7" x14ac:dyDescent="0.25">
      <c r="A49" s="55"/>
      <c r="B49" s="61"/>
      <c r="C49" s="61"/>
      <c r="D49" s="61"/>
      <c r="E49" s="61"/>
      <c r="F49" s="61"/>
      <c r="G49" s="61"/>
    </row>
    <row r="50" spans="1:7" x14ac:dyDescent="0.25">
      <c r="A50" s="55"/>
      <c r="B50" s="61"/>
      <c r="C50" s="61"/>
      <c r="D50" s="61"/>
      <c r="E50" s="61"/>
      <c r="F50" s="61"/>
      <c r="G50" s="61"/>
    </row>
    <row r="51" spans="1:7" x14ac:dyDescent="0.25">
      <c r="A51" s="55"/>
      <c r="B51" s="61"/>
      <c r="C51" s="61"/>
      <c r="D51" s="61"/>
      <c r="E51" s="61"/>
      <c r="F51" s="61"/>
      <c r="G51" s="61"/>
    </row>
    <row r="52" spans="1:7" x14ac:dyDescent="0.25">
      <c r="A52" s="55"/>
      <c r="B52" s="61"/>
      <c r="C52" s="61"/>
      <c r="D52" s="61"/>
      <c r="E52" s="61"/>
      <c r="F52" s="61"/>
      <c r="G52" s="61"/>
    </row>
    <row r="53" spans="1:7" x14ac:dyDescent="0.25">
      <c r="A53" s="55"/>
      <c r="B53" s="61"/>
      <c r="C53" s="61"/>
      <c r="D53" s="61"/>
      <c r="E53" s="61"/>
      <c r="F53" s="61"/>
      <c r="G53" s="61"/>
    </row>
    <row r="54" spans="1:7" x14ac:dyDescent="0.25">
      <c r="A54" s="55"/>
      <c r="B54" s="61"/>
      <c r="C54" s="61"/>
      <c r="D54" s="61"/>
      <c r="E54" s="61"/>
      <c r="F54" s="61"/>
      <c r="G54" s="61"/>
    </row>
    <row r="55" spans="1:7" x14ac:dyDescent="0.25">
      <c r="A55" s="55"/>
      <c r="B55" s="61"/>
      <c r="C55" s="61"/>
      <c r="D55" s="61"/>
      <c r="E55" s="61"/>
      <c r="F55" s="61"/>
      <c r="G55" s="61"/>
    </row>
    <row r="56" spans="1:7" x14ac:dyDescent="0.25">
      <c r="A56" s="55"/>
      <c r="B56" s="61"/>
      <c r="C56" s="61"/>
      <c r="D56" s="61"/>
      <c r="E56" s="61"/>
      <c r="F56" s="61"/>
      <c r="G56" s="61"/>
    </row>
    <row r="57" spans="1:7" x14ac:dyDescent="0.25">
      <c r="A57" s="55"/>
      <c r="B57" s="61"/>
      <c r="C57" s="61"/>
      <c r="D57" s="61"/>
      <c r="E57" s="61"/>
      <c r="F57" s="61"/>
      <c r="G57" s="61"/>
    </row>
    <row r="58" spans="1:7" x14ac:dyDescent="0.25">
      <c r="A58" s="55"/>
      <c r="B58" s="61"/>
      <c r="C58" s="61"/>
      <c r="D58" s="61"/>
      <c r="E58" s="61"/>
      <c r="F58" s="61"/>
      <c r="G58" s="61"/>
    </row>
    <row r="59" spans="1:7" s="24" customFormat="1" x14ac:dyDescent="0.25">
      <c r="A59" s="144" t="s">
        <v>432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77">
        <f>D59-E59</f>
        <v>0</v>
      </c>
    </row>
    <row r="60" spans="1:7" s="24" customFormat="1" x14ac:dyDescent="0.25">
      <c r="A60" s="144" t="s">
        <v>3305</v>
      </c>
      <c r="B60" s="60">
        <v>3688278.5700000003</v>
      </c>
      <c r="C60" s="60">
        <v>-854859.91000000061</v>
      </c>
      <c r="D60" s="60">
        <v>2833418.6599999997</v>
      </c>
      <c r="E60" s="60">
        <v>2195659.9300000011</v>
      </c>
      <c r="F60" s="60">
        <v>2195659.9300000011</v>
      </c>
      <c r="G60" s="77">
        <f>D60-E60</f>
        <v>637758.72999999858</v>
      </c>
    </row>
    <row r="61" spans="1:7" s="24" customFormat="1" x14ac:dyDescent="0.25">
      <c r="A61" s="144" t="s">
        <v>3306</v>
      </c>
      <c r="B61" s="60">
        <v>2220105.75</v>
      </c>
      <c r="C61" s="60">
        <v>-53722.349999999627</v>
      </c>
      <c r="D61" s="60">
        <v>2166383.4000000004</v>
      </c>
      <c r="E61" s="60">
        <v>2148737.8000000007</v>
      </c>
      <c r="F61" s="60">
        <v>2148737.8000000007</v>
      </c>
      <c r="G61" s="77">
        <f t="shared" ref="G61:G117" si="0">D61-E61</f>
        <v>17645.599999999627</v>
      </c>
    </row>
    <row r="62" spans="1:7" s="24" customFormat="1" x14ac:dyDescent="0.25">
      <c r="A62" s="144" t="s">
        <v>3307</v>
      </c>
      <c r="B62" s="60">
        <v>4374543.5600000005</v>
      </c>
      <c r="C62" s="60">
        <v>-276357.53000000119</v>
      </c>
      <c r="D62" s="60">
        <v>4098186.0299999993</v>
      </c>
      <c r="E62" s="60">
        <v>4061233.0799999996</v>
      </c>
      <c r="F62" s="60">
        <v>4061233.0799999996</v>
      </c>
      <c r="G62" s="77">
        <f t="shared" si="0"/>
        <v>36952.949999999721</v>
      </c>
    </row>
    <row r="63" spans="1:7" s="24" customFormat="1" x14ac:dyDescent="0.25">
      <c r="A63" s="144" t="s">
        <v>3308</v>
      </c>
      <c r="B63" s="60">
        <v>3876415.9099999997</v>
      </c>
      <c r="C63" s="60">
        <v>-201609.69999999972</v>
      </c>
      <c r="D63" s="60">
        <v>3674806.21</v>
      </c>
      <c r="E63" s="60">
        <v>3621782.55</v>
      </c>
      <c r="F63" s="60">
        <v>3621782.55</v>
      </c>
      <c r="G63" s="77">
        <f t="shared" si="0"/>
        <v>53023.660000000149</v>
      </c>
    </row>
    <row r="64" spans="1:7" s="24" customFormat="1" x14ac:dyDescent="0.25">
      <c r="A64" s="144" t="s">
        <v>3309</v>
      </c>
      <c r="B64" s="60">
        <v>1936714.19</v>
      </c>
      <c r="C64" s="60">
        <v>145998.85000000009</v>
      </c>
      <c r="D64" s="60">
        <v>2082713.04</v>
      </c>
      <c r="E64" s="60">
        <v>2066372.6700000004</v>
      </c>
      <c r="F64" s="60">
        <v>2066372.6700000004</v>
      </c>
      <c r="G64" s="77">
        <f t="shared" si="0"/>
        <v>16340.369999999646</v>
      </c>
    </row>
    <row r="65" spans="1:7" s="24" customFormat="1" x14ac:dyDescent="0.25">
      <c r="A65" s="144" t="s">
        <v>3310</v>
      </c>
      <c r="B65" s="60">
        <v>650443.49</v>
      </c>
      <c r="C65" s="60">
        <v>-16536.280000000028</v>
      </c>
      <c r="D65" s="60">
        <v>633907.21</v>
      </c>
      <c r="E65" s="60">
        <v>622837.73</v>
      </c>
      <c r="F65" s="60">
        <v>622837.73</v>
      </c>
      <c r="G65" s="77">
        <f t="shared" si="0"/>
        <v>11069.479999999981</v>
      </c>
    </row>
    <row r="66" spans="1:7" s="24" customFormat="1" x14ac:dyDescent="0.25">
      <c r="A66" s="144" t="s">
        <v>3311</v>
      </c>
      <c r="B66" s="60">
        <v>2690427.07</v>
      </c>
      <c r="C66" s="60">
        <v>162172.25999999931</v>
      </c>
      <c r="D66" s="60">
        <v>2852599.3299999991</v>
      </c>
      <c r="E66" s="60">
        <v>2283705</v>
      </c>
      <c r="F66" s="60">
        <v>2283705</v>
      </c>
      <c r="G66" s="77">
        <f t="shared" si="0"/>
        <v>568894.32999999914</v>
      </c>
    </row>
    <row r="67" spans="1:7" s="24" customFormat="1" x14ac:dyDescent="0.25">
      <c r="A67" s="144" t="s">
        <v>3312</v>
      </c>
      <c r="B67" s="60">
        <v>4657861</v>
      </c>
      <c r="C67" s="60">
        <v>72841.089999999851</v>
      </c>
      <c r="D67" s="60">
        <v>4730702.09</v>
      </c>
      <c r="E67" s="60">
        <v>4667810.99</v>
      </c>
      <c r="F67" s="60">
        <v>4667810.99</v>
      </c>
      <c r="G67" s="77">
        <f t="shared" si="0"/>
        <v>62891.099999999627</v>
      </c>
    </row>
    <row r="68" spans="1:7" s="24" customFormat="1" x14ac:dyDescent="0.25">
      <c r="A68" s="144" t="s">
        <v>3313</v>
      </c>
      <c r="B68" s="60">
        <v>1328982.68</v>
      </c>
      <c r="C68" s="60">
        <v>-52752.350000000093</v>
      </c>
      <c r="D68" s="60">
        <v>1276230.3299999998</v>
      </c>
      <c r="E68" s="60">
        <v>1247063.7699999998</v>
      </c>
      <c r="F68" s="60">
        <v>1247063.7699999998</v>
      </c>
      <c r="G68" s="77">
        <f t="shared" si="0"/>
        <v>29166.560000000056</v>
      </c>
    </row>
    <row r="69" spans="1:7" s="24" customFormat="1" x14ac:dyDescent="0.25">
      <c r="A69" s="144" t="s">
        <v>3314</v>
      </c>
      <c r="B69" s="60">
        <v>2164783.87</v>
      </c>
      <c r="C69" s="60">
        <v>-201572.36000000034</v>
      </c>
      <c r="D69" s="60">
        <v>1963211.5099999998</v>
      </c>
      <c r="E69" s="60">
        <v>1950111.09</v>
      </c>
      <c r="F69" s="60">
        <v>1950111.09</v>
      </c>
      <c r="G69" s="77">
        <f t="shared" si="0"/>
        <v>13100.419999999693</v>
      </c>
    </row>
    <row r="70" spans="1:7" s="24" customFormat="1" x14ac:dyDescent="0.25">
      <c r="A70" s="144" t="s">
        <v>3315</v>
      </c>
      <c r="B70" s="60">
        <v>933980.96</v>
      </c>
      <c r="C70" s="60">
        <v>-468404.35999999993</v>
      </c>
      <c r="D70" s="60">
        <v>465576.60000000003</v>
      </c>
      <c r="E70" s="60">
        <v>415185.28</v>
      </c>
      <c r="F70" s="60">
        <v>415185.28</v>
      </c>
      <c r="G70" s="77">
        <f t="shared" si="0"/>
        <v>50391.320000000007</v>
      </c>
    </row>
    <row r="71" spans="1:7" s="24" customFormat="1" x14ac:dyDescent="0.25">
      <c r="A71" s="144" t="s">
        <v>3316</v>
      </c>
      <c r="B71" s="60">
        <v>24185936.43</v>
      </c>
      <c r="C71" s="60">
        <v>8057447.7100000009</v>
      </c>
      <c r="D71" s="60">
        <f>32243384.14-D129</f>
        <v>28243384.140000001</v>
      </c>
      <c r="E71" s="60">
        <v>11126098.43</v>
      </c>
      <c r="F71" s="60">
        <v>11126098.43</v>
      </c>
      <c r="G71" s="77">
        <f t="shared" si="0"/>
        <v>17117285.710000001</v>
      </c>
    </row>
    <row r="72" spans="1:7" s="24" customFormat="1" x14ac:dyDescent="0.25">
      <c r="A72" s="144" t="s">
        <v>3317</v>
      </c>
      <c r="B72" s="60">
        <v>13085783.5</v>
      </c>
      <c r="C72" s="60">
        <v>-89864.550000000745</v>
      </c>
      <c r="D72" s="60">
        <v>12995918.949999999</v>
      </c>
      <c r="E72" s="60">
        <v>9862383.3599999994</v>
      </c>
      <c r="F72" s="60">
        <v>9862383.3599999994</v>
      </c>
      <c r="G72" s="77">
        <f t="shared" si="0"/>
        <v>3133535.59</v>
      </c>
    </row>
    <row r="73" spans="1:7" s="24" customFormat="1" x14ac:dyDescent="0.25">
      <c r="A73" s="144" t="s">
        <v>3318</v>
      </c>
      <c r="B73" s="60">
        <v>9677173.7899999991</v>
      </c>
      <c r="C73" s="60">
        <v>82727.360000001267</v>
      </c>
      <c r="D73" s="60">
        <v>9759901.1500000004</v>
      </c>
      <c r="E73" s="60">
        <v>9447084.693</v>
      </c>
      <c r="F73" s="60">
        <v>9447084.693</v>
      </c>
      <c r="G73" s="77">
        <f t="shared" si="0"/>
        <v>312816.4570000004</v>
      </c>
    </row>
    <row r="74" spans="1:7" s="24" customFormat="1" x14ac:dyDescent="0.25">
      <c r="A74" s="144" t="s">
        <v>3319</v>
      </c>
      <c r="B74" s="60">
        <v>4599815.8999999994</v>
      </c>
      <c r="C74" s="60">
        <v>-198190.8599999994</v>
      </c>
      <c r="D74" s="60">
        <v>4401625.04</v>
      </c>
      <c r="E74" s="60">
        <v>4262847.5999999996</v>
      </c>
      <c r="F74" s="60">
        <v>4262847.5999999996</v>
      </c>
      <c r="G74" s="77">
        <f t="shared" si="0"/>
        <v>138777.44000000041</v>
      </c>
    </row>
    <row r="75" spans="1:7" s="24" customFormat="1" x14ac:dyDescent="0.25">
      <c r="A75" s="144" t="s">
        <v>3320</v>
      </c>
      <c r="B75" s="60">
        <v>5857617.0899999999</v>
      </c>
      <c r="C75" s="60">
        <v>3862004.9800000004</v>
      </c>
      <c r="D75" s="60">
        <v>9719622.0700000003</v>
      </c>
      <c r="E75" s="60">
        <v>7982531.120000001</v>
      </c>
      <c r="F75" s="60">
        <v>7982531.120000001</v>
      </c>
      <c r="G75" s="77">
        <f t="shared" si="0"/>
        <v>1737090.9499999993</v>
      </c>
    </row>
    <row r="76" spans="1:7" s="24" customFormat="1" x14ac:dyDescent="0.25">
      <c r="A76" s="144" t="s">
        <v>3321</v>
      </c>
      <c r="B76" s="60">
        <v>6200524.3399999999</v>
      </c>
      <c r="C76" s="60">
        <v>-20771.419999999925</v>
      </c>
      <c r="D76" s="60">
        <v>6179752.9199999999</v>
      </c>
      <c r="E76" s="60">
        <v>6142644.0599999987</v>
      </c>
      <c r="F76" s="60">
        <v>6142644.0599999987</v>
      </c>
      <c r="G76" s="77">
        <f t="shared" si="0"/>
        <v>37108.860000001267</v>
      </c>
    </row>
    <row r="77" spans="1:7" s="24" customFormat="1" x14ac:dyDescent="0.25">
      <c r="A77" s="144" t="s">
        <v>3322</v>
      </c>
      <c r="B77" s="60">
        <v>1065128.0900000001</v>
      </c>
      <c r="C77" s="60">
        <v>-62369.760000000126</v>
      </c>
      <c r="D77" s="60">
        <v>1002758.33</v>
      </c>
      <c r="E77" s="60">
        <v>966771.91000000015</v>
      </c>
      <c r="F77" s="60">
        <v>966771.91000000015</v>
      </c>
      <c r="G77" s="77">
        <f t="shared" si="0"/>
        <v>35986.419999999809</v>
      </c>
    </row>
    <row r="78" spans="1:7" s="24" customFormat="1" x14ac:dyDescent="0.25">
      <c r="A78" s="144" t="s">
        <v>3323</v>
      </c>
      <c r="B78" s="60">
        <v>1702313.81</v>
      </c>
      <c r="C78" s="60">
        <v>-28240.669999999693</v>
      </c>
      <c r="D78" s="60">
        <v>1674073.1400000004</v>
      </c>
      <c r="E78" s="60">
        <v>1667365.88</v>
      </c>
      <c r="F78" s="60">
        <v>1667365.88</v>
      </c>
      <c r="G78" s="77">
        <f t="shared" si="0"/>
        <v>6707.260000000475</v>
      </c>
    </row>
    <row r="79" spans="1:7" s="24" customFormat="1" x14ac:dyDescent="0.25">
      <c r="A79" s="144" t="s">
        <v>3324</v>
      </c>
      <c r="B79" s="60">
        <v>1979870.89</v>
      </c>
      <c r="C79" s="60">
        <v>102270.18999999994</v>
      </c>
      <c r="D79" s="60">
        <v>2082141.0799999998</v>
      </c>
      <c r="E79" s="60">
        <v>2000046.72</v>
      </c>
      <c r="F79" s="60">
        <v>2000046.72</v>
      </c>
      <c r="G79" s="77">
        <f t="shared" si="0"/>
        <v>82094.35999999987</v>
      </c>
    </row>
    <row r="80" spans="1:7" s="24" customFormat="1" x14ac:dyDescent="0.25">
      <c r="A80" s="144" t="s">
        <v>3325</v>
      </c>
      <c r="B80" s="60">
        <v>4243868.92</v>
      </c>
      <c r="C80" s="60">
        <v>-190457.93999999948</v>
      </c>
      <c r="D80" s="60">
        <v>4053410.9800000004</v>
      </c>
      <c r="E80" s="60">
        <v>3966486.02</v>
      </c>
      <c r="F80" s="60">
        <v>3966486.02</v>
      </c>
      <c r="G80" s="77">
        <f t="shared" si="0"/>
        <v>86924.960000000428</v>
      </c>
    </row>
    <row r="81" spans="1:7" s="24" customFormat="1" x14ac:dyDescent="0.25">
      <c r="A81" s="144" t="s">
        <v>3326</v>
      </c>
      <c r="B81" s="60">
        <v>1542636.8599999999</v>
      </c>
      <c r="C81" s="60">
        <v>-43185.289999999804</v>
      </c>
      <c r="D81" s="60">
        <v>1499451.57</v>
      </c>
      <c r="E81" s="60">
        <v>1469964.9300000002</v>
      </c>
      <c r="F81" s="60">
        <v>1469964.9300000002</v>
      </c>
      <c r="G81" s="77">
        <f t="shared" si="0"/>
        <v>29486.639999999898</v>
      </c>
    </row>
    <row r="82" spans="1:7" s="24" customFormat="1" x14ac:dyDescent="0.25">
      <c r="A82" s="144" t="s">
        <v>3327</v>
      </c>
      <c r="B82" s="60">
        <v>2987338.4</v>
      </c>
      <c r="C82" s="60">
        <v>-342443.64000000013</v>
      </c>
      <c r="D82" s="60">
        <v>2644894.7599999998</v>
      </c>
      <c r="E82" s="60">
        <v>2621061.9100000006</v>
      </c>
      <c r="F82" s="60">
        <v>2621061.9100000006</v>
      </c>
      <c r="G82" s="77">
        <f t="shared" si="0"/>
        <v>23832.849999999162</v>
      </c>
    </row>
    <row r="83" spans="1:7" s="24" customFormat="1" x14ac:dyDescent="0.25">
      <c r="A83" s="144" t="s">
        <v>3328</v>
      </c>
      <c r="B83" s="60">
        <v>13494343.619999999</v>
      </c>
      <c r="C83" s="60">
        <v>838745.27000000142</v>
      </c>
      <c r="D83" s="60">
        <v>14333088.890000001</v>
      </c>
      <c r="E83" s="60">
        <v>10565905.179999998</v>
      </c>
      <c r="F83" s="60">
        <v>10565905.179999998</v>
      </c>
      <c r="G83" s="77">
        <f t="shared" si="0"/>
        <v>3767183.7100000028</v>
      </c>
    </row>
    <row r="84" spans="1:7" s="24" customFormat="1" x14ac:dyDescent="0.25">
      <c r="A84" s="144" t="s">
        <v>3329</v>
      </c>
      <c r="B84" s="60">
        <v>6918681.1899999985</v>
      </c>
      <c r="C84" s="60">
        <v>-281109.93999999948</v>
      </c>
      <c r="D84" s="60">
        <v>6637571.2499999991</v>
      </c>
      <c r="E84" s="60">
        <v>6513747.709999999</v>
      </c>
      <c r="F84" s="60">
        <v>6513747.709999999</v>
      </c>
      <c r="G84" s="77">
        <f t="shared" si="0"/>
        <v>123823.54000000004</v>
      </c>
    </row>
    <row r="85" spans="1:7" s="24" customFormat="1" x14ac:dyDescent="0.25">
      <c r="A85" s="144" t="s">
        <v>3330</v>
      </c>
      <c r="B85" s="60">
        <v>963140.97</v>
      </c>
      <c r="C85" s="60">
        <v>-64156.809999999939</v>
      </c>
      <c r="D85" s="60">
        <v>898984.16</v>
      </c>
      <c r="E85" s="60">
        <v>863478.78</v>
      </c>
      <c r="F85" s="60">
        <v>863478.78</v>
      </c>
      <c r="G85" s="77">
        <f t="shared" si="0"/>
        <v>35505.380000000005</v>
      </c>
    </row>
    <row r="86" spans="1:7" s="24" customFormat="1" x14ac:dyDescent="0.25">
      <c r="A86" s="144" t="s">
        <v>3331</v>
      </c>
      <c r="B86" s="60">
        <v>27437074.849999998</v>
      </c>
      <c r="C86" s="60">
        <v>1361055.879999999</v>
      </c>
      <c r="D86" s="60">
        <v>28798130.729999997</v>
      </c>
      <c r="E86" s="60">
        <v>28608684.68</v>
      </c>
      <c r="F86" s="60">
        <v>28608684.68</v>
      </c>
      <c r="G86" s="77">
        <f t="shared" si="0"/>
        <v>189446.04999999702</v>
      </c>
    </row>
    <row r="87" spans="1:7" s="24" customFormat="1" x14ac:dyDescent="0.25">
      <c r="A87" s="144" t="s">
        <v>3332</v>
      </c>
      <c r="B87" s="60">
        <v>4193870.7499999995</v>
      </c>
      <c r="C87" s="60">
        <v>-193736.73999999976</v>
      </c>
      <c r="D87" s="60">
        <v>4000134.01</v>
      </c>
      <c r="E87" s="60">
        <v>3938271.11</v>
      </c>
      <c r="F87" s="60">
        <v>3938271.11</v>
      </c>
      <c r="G87" s="77">
        <f t="shared" si="0"/>
        <v>61862.899999999907</v>
      </c>
    </row>
    <row r="88" spans="1:7" s="24" customFormat="1" x14ac:dyDescent="0.25">
      <c r="A88" s="144" t="s">
        <v>3333</v>
      </c>
      <c r="B88" s="60">
        <v>3048579.6399999997</v>
      </c>
      <c r="C88" s="60">
        <v>-150480.69000000041</v>
      </c>
      <c r="D88" s="60">
        <v>2898098.9499999993</v>
      </c>
      <c r="E88" s="60">
        <v>2853007.98</v>
      </c>
      <c r="F88" s="60">
        <v>2853007.98</v>
      </c>
      <c r="G88" s="77">
        <f t="shared" si="0"/>
        <v>45090.969999999274</v>
      </c>
    </row>
    <row r="89" spans="1:7" s="24" customFormat="1" x14ac:dyDescent="0.25">
      <c r="A89" s="144" t="s">
        <v>3334</v>
      </c>
      <c r="B89" s="60">
        <v>3549620.5200000005</v>
      </c>
      <c r="C89" s="60">
        <v>-81035.250000000931</v>
      </c>
      <c r="D89" s="60">
        <v>3468585.2699999996</v>
      </c>
      <c r="E89" s="60">
        <v>3429731.09</v>
      </c>
      <c r="F89" s="60">
        <v>3429731.09</v>
      </c>
      <c r="G89" s="77">
        <f t="shared" si="0"/>
        <v>38854.179999999702</v>
      </c>
    </row>
    <row r="90" spans="1:7" s="24" customFormat="1" x14ac:dyDescent="0.25">
      <c r="A90" s="144" t="s">
        <v>3335</v>
      </c>
      <c r="B90" s="60">
        <v>1711556.8199999998</v>
      </c>
      <c r="C90" s="60">
        <v>-32172.090000000317</v>
      </c>
      <c r="D90" s="60">
        <v>1679384.7299999995</v>
      </c>
      <c r="E90" s="60">
        <v>1656586.55</v>
      </c>
      <c r="F90" s="60">
        <v>1656586.55</v>
      </c>
      <c r="G90" s="77">
        <f t="shared" si="0"/>
        <v>22798.179999999469</v>
      </c>
    </row>
    <row r="91" spans="1:7" s="24" customFormat="1" x14ac:dyDescent="0.25">
      <c r="A91" s="144" t="s">
        <v>3336</v>
      </c>
      <c r="B91" s="60">
        <v>7318024</v>
      </c>
      <c r="C91" s="60">
        <v>-104259.74000000022</v>
      </c>
      <c r="D91" s="60">
        <v>7213764.2599999998</v>
      </c>
      <c r="E91" s="60">
        <v>7099722.629999999</v>
      </c>
      <c r="F91" s="60">
        <v>7099722.629999999</v>
      </c>
      <c r="G91" s="77">
        <f t="shared" si="0"/>
        <v>114041.63000000082</v>
      </c>
    </row>
    <row r="92" spans="1:7" s="24" customFormat="1" x14ac:dyDescent="0.25">
      <c r="A92" s="144" t="s">
        <v>3337</v>
      </c>
      <c r="B92" s="60">
        <v>3187249.1399999997</v>
      </c>
      <c r="C92" s="60">
        <v>-254398.87999999989</v>
      </c>
      <c r="D92" s="60">
        <v>2932850.26</v>
      </c>
      <c r="E92" s="60">
        <v>2889249.9699999997</v>
      </c>
      <c r="F92" s="60">
        <v>2889249.9699999997</v>
      </c>
      <c r="G92" s="77">
        <f t="shared" si="0"/>
        <v>43600.290000000037</v>
      </c>
    </row>
    <row r="93" spans="1:7" s="24" customFormat="1" x14ac:dyDescent="0.25">
      <c r="A93" s="144" t="s">
        <v>3338</v>
      </c>
      <c r="B93" s="60">
        <v>721699.72000000009</v>
      </c>
      <c r="C93" s="60">
        <v>-61986.599999999977</v>
      </c>
      <c r="D93" s="60">
        <v>659713.12000000011</v>
      </c>
      <c r="E93" s="60">
        <v>615807.64000000036</v>
      </c>
      <c r="F93" s="60">
        <v>615807.64000000036</v>
      </c>
      <c r="G93" s="77">
        <f t="shared" si="0"/>
        <v>43905.479999999749</v>
      </c>
    </row>
    <row r="94" spans="1:7" s="24" customFormat="1" x14ac:dyDescent="0.25">
      <c r="A94" s="144" t="s">
        <v>3339</v>
      </c>
      <c r="B94" s="60">
        <v>72202568.140000015</v>
      </c>
      <c r="C94" s="60">
        <v>7605394.5999999791</v>
      </c>
      <c r="D94" s="60">
        <v>79807962.739999995</v>
      </c>
      <c r="E94" s="60">
        <v>78676410.290999994</v>
      </c>
      <c r="F94" s="60">
        <v>78676410.290999994</v>
      </c>
      <c r="G94" s="77">
        <f t="shared" si="0"/>
        <v>1131552.449000001</v>
      </c>
    </row>
    <row r="95" spans="1:7" s="24" customFormat="1" x14ac:dyDescent="0.25">
      <c r="A95" s="144" t="s">
        <v>3340</v>
      </c>
      <c r="B95" s="60">
        <v>6367740.7200000007</v>
      </c>
      <c r="C95" s="60">
        <v>39810.159999998286</v>
      </c>
      <c r="D95" s="60">
        <v>6407550.879999999</v>
      </c>
      <c r="E95" s="60">
        <v>6092773.5099999998</v>
      </c>
      <c r="F95" s="60">
        <v>6092773.5099999998</v>
      </c>
      <c r="G95" s="77">
        <f t="shared" si="0"/>
        <v>314777.36999999918</v>
      </c>
    </row>
    <row r="96" spans="1:7" s="24" customFormat="1" x14ac:dyDescent="0.25">
      <c r="A96" s="144" t="s">
        <v>3341</v>
      </c>
      <c r="B96" s="60">
        <v>8991205.6500000004</v>
      </c>
      <c r="C96" s="60">
        <v>-462978.13000000082</v>
      </c>
      <c r="D96" s="60">
        <v>8528227.5199999996</v>
      </c>
      <c r="E96" s="60">
        <v>7883896.5399999991</v>
      </c>
      <c r="F96" s="60">
        <v>7883896.5399999991</v>
      </c>
      <c r="G96" s="77">
        <f t="shared" si="0"/>
        <v>644330.98000000045</v>
      </c>
    </row>
    <row r="97" spans="1:7" s="24" customFormat="1" x14ac:dyDescent="0.25">
      <c r="A97" s="144" t="s">
        <v>3342</v>
      </c>
      <c r="B97" s="60">
        <v>3260036.46</v>
      </c>
      <c r="C97" s="60">
        <v>-352968.99000000022</v>
      </c>
      <c r="D97" s="60">
        <v>2907067.4699999997</v>
      </c>
      <c r="E97" s="60">
        <v>2827842.58</v>
      </c>
      <c r="F97" s="60">
        <v>2827842.58</v>
      </c>
      <c r="G97" s="77">
        <f t="shared" si="0"/>
        <v>79224.889999999665</v>
      </c>
    </row>
    <row r="98" spans="1:7" s="24" customFormat="1" x14ac:dyDescent="0.25">
      <c r="A98" s="144" t="s">
        <v>3343</v>
      </c>
      <c r="B98" s="60">
        <v>3551541.52</v>
      </c>
      <c r="C98" s="60">
        <v>-834528.20000000065</v>
      </c>
      <c r="D98" s="60">
        <v>2717013.3199999994</v>
      </c>
      <c r="E98" s="60">
        <v>2450427.27</v>
      </c>
      <c r="F98" s="60">
        <v>2450427.27</v>
      </c>
      <c r="G98" s="77">
        <f t="shared" si="0"/>
        <v>266586.04999999935</v>
      </c>
    </row>
    <row r="99" spans="1:7" s="24" customFormat="1" x14ac:dyDescent="0.25">
      <c r="A99" s="144" t="s">
        <v>3344</v>
      </c>
      <c r="B99" s="60">
        <v>2103579.3199999994</v>
      </c>
      <c r="C99" s="60">
        <v>-40354.829999999376</v>
      </c>
      <c r="D99" s="60">
        <v>2063224.49</v>
      </c>
      <c r="E99" s="60">
        <v>2044984.81</v>
      </c>
      <c r="F99" s="60">
        <v>2044984.81</v>
      </c>
      <c r="G99" s="77">
        <f t="shared" si="0"/>
        <v>18239.679999999935</v>
      </c>
    </row>
    <row r="100" spans="1:7" s="24" customFormat="1" x14ac:dyDescent="0.25">
      <c r="A100" s="144" t="s">
        <v>3345</v>
      </c>
      <c r="B100" s="60">
        <v>4126523.1999999997</v>
      </c>
      <c r="C100" s="60">
        <v>-92910.490000000224</v>
      </c>
      <c r="D100" s="60">
        <v>4033612.7099999995</v>
      </c>
      <c r="E100" s="60">
        <v>4015458.2839999995</v>
      </c>
      <c r="F100" s="60">
        <v>4015458.2839999995</v>
      </c>
      <c r="G100" s="77">
        <f t="shared" si="0"/>
        <v>18154.425999999978</v>
      </c>
    </row>
    <row r="101" spans="1:7" s="24" customFormat="1" x14ac:dyDescent="0.25">
      <c r="A101" s="144" t="s">
        <v>3346</v>
      </c>
      <c r="B101" s="60">
        <f>274070522.38-B130</f>
        <v>137368693.57999998</v>
      </c>
      <c r="C101" s="60">
        <f>D101-B101</f>
        <v>12873649.040000081</v>
      </c>
      <c r="D101" s="60">
        <f>290483029.48-D130</f>
        <v>150242342.62000006</v>
      </c>
      <c r="E101" s="60">
        <f>137410053.7799-E130</f>
        <v>52751723.339900032</v>
      </c>
      <c r="F101" s="60">
        <f>137410053.7799-F130</f>
        <v>52751723.339900032</v>
      </c>
      <c r="G101" s="77">
        <f t="shared" si="0"/>
        <v>97490619.280100033</v>
      </c>
    </row>
    <row r="102" spans="1:7" s="24" customFormat="1" x14ac:dyDescent="0.25">
      <c r="A102" s="144" t="s">
        <v>3347</v>
      </c>
      <c r="B102" s="60">
        <v>4388204.75</v>
      </c>
      <c r="C102" s="60">
        <v>-219496.89000000013</v>
      </c>
      <c r="D102" s="60">
        <v>4168707.86</v>
      </c>
      <c r="E102" s="60">
        <v>3949251.52</v>
      </c>
      <c r="F102" s="60">
        <v>3949251.52</v>
      </c>
      <c r="G102" s="77">
        <f t="shared" si="0"/>
        <v>219456.33999999985</v>
      </c>
    </row>
    <row r="103" spans="1:7" s="24" customFormat="1" x14ac:dyDescent="0.25">
      <c r="A103" s="144" t="s">
        <v>3348</v>
      </c>
      <c r="B103" s="60">
        <v>641469.15</v>
      </c>
      <c r="C103" s="60">
        <v>-14387.810000000056</v>
      </c>
      <c r="D103" s="60">
        <v>627081.34</v>
      </c>
      <c r="E103" s="60">
        <v>606044.31000000006</v>
      </c>
      <c r="F103" s="60">
        <v>606044.31000000006</v>
      </c>
      <c r="G103" s="77">
        <f t="shared" si="0"/>
        <v>21037.029999999912</v>
      </c>
    </row>
    <row r="104" spans="1:7" s="24" customFormat="1" x14ac:dyDescent="0.25">
      <c r="A104" s="144" t="s">
        <v>3349</v>
      </c>
      <c r="B104" s="60">
        <v>911431.2899999998</v>
      </c>
      <c r="C104" s="60">
        <v>-35395.450000000186</v>
      </c>
      <c r="D104" s="60">
        <v>876035.83999999962</v>
      </c>
      <c r="E104" s="60">
        <v>867070.92999999993</v>
      </c>
      <c r="F104" s="60">
        <v>867070.92999999993</v>
      </c>
      <c r="G104" s="77">
        <f t="shared" si="0"/>
        <v>8964.9099999996834</v>
      </c>
    </row>
    <row r="105" spans="1:7" s="24" customFormat="1" x14ac:dyDescent="0.25">
      <c r="A105" s="144" t="s">
        <v>3350</v>
      </c>
      <c r="B105" s="60">
        <v>2893848.4700000007</v>
      </c>
      <c r="C105" s="60">
        <v>-93034.700000000186</v>
      </c>
      <c r="D105" s="60">
        <v>2800813.7700000005</v>
      </c>
      <c r="E105" s="60">
        <v>2738686.1900000004</v>
      </c>
      <c r="F105" s="60">
        <v>2738686.1900000004</v>
      </c>
      <c r="G105" s="77">
        <f t="shared" si="0"/>
        <v>62127.580000000075</v>
      </c>
    </row>
    <row r="106" spans="1:7" s="24" customFormat="1" x14ac:dyDescent="0.25">
      <c r="A106" s="144" t="s">
        <v>3351</v>
      </c>
      <c r="B106" s="60">
        <v>563915.9</v>
      </c>
      <c r="C106" s="60">
        <v>-10110.339999999967</v>
      </c>
      <c r="D106" s="60">
        <v>553805.56000000006</v>
      </c>
      <c r="E106" s="60">
        <v>542476.74</v>
      </c>
      <c r="F106" s="60">
        <v>542476.74</v>
      </c>
      <c r="G106" s="77">
        <f t="shared" si="0"/>
        <v>11328.820000000065</v>
      </c>
    </row>
    <row r="107" spans="1:7" s="24" customFormat="1" x14ac:dyDescent="0.25">
      <c r="A107" s="144" t="s">
        <v>3352</v>
      </c>
      <c r="B107" s="60">
        <v>697818.9</v>
      </c>
      <c r="C107" s="60">
        <v>-24530.539999999921</v>
      </c>
      <c r="D107" s="60">
        <v>673288.3600000001</v>
      </c>
      <c r="E107" s="60">
        <v>646639.49999999988</v>
      </c>
      <c r="F107" s="60">
        <v>646639.49999999988</v>
      </c>
      <c r="G107" s="77">
        <f t="shared" si="0"/>
        <v>26648.860000000219</v>
      </c>
    </row>
    <row r="108" spans="1:7" s="24" customFormat="1" x14ac:dyDescent="0.25">
      <c r="A108" s="144" t="s">
        <v>3353</v>
      </c>
      <c r="B108" s="60">
        <v>625642.87</v>
      </c>
      <c r="C108" s="60">
        <v>-17779.04999999993</v>
      </c>
      <c r="D108" s="60">
        <v>607863.82000000007</v>
      </c>
      <c r="E108" s="60">
        <v>603949.24</v>
      </c>
      <c r="F108" s="60">
        <v>603949.24</v>
      </c>
      <c r="G108" s="77">
        <f t="shared" si="0"/>
        <v>3914.5800000000745</v>
      </c>
    </row>
    <row r="109" spans="1:7" s="24" customFormat="1" x14ac:dyDescent="0.25">
      <c r="A109" s="144" t="s">
        <v>3354</v>
      </c>
      <c r="B109" s="60">
        <v>1980033.4</v>
      </c>
      <c r="C109" s="60">
        <v>338664.73</v>
      </c>
      <c r="D109" s="60">
        <v>2318698.13</v>
      </c>
      <c r="E109" s="60">
        <v>2167370.75</v>
      </c>
      <c r="F109" s="60">
        <v>2167370.75</v>
      </c>
      <c r="G109" s="77">
        <f t="shared" si="0"/>
        <v>151327.37999999989</v>
      </c>
    </row>
    <row r="110" spans="1:7" s="24" customFormat="1" x14ac:dyDescent="0.25">
      <c r="A110" s="144" t="s">
        <v>3355</v>
      </c>
      <c r="B110" s="60">
        <v>4148902.1899999995</v>
      </c>
      <c r="C110" s="60">
        <v>406577.86000000034</v>
      </c>
      <c r="D110" s="60">
        <v>4555480.05</v>
      </c>
      <c r="E110" s="60">
        <v>4250689.24</v>
      </c>
      <c r="F110" s="60">
        <v>4250689.24</v>
      </c>
      <c r="G110" s="77">
        <f t="shared" si="0"/>
        <v>304790.80999999959</v>
      </c>
    </row>
    <row r="111" spans="1:7" s="24" customFormat="1" x14ac:dyDescent="0.25">
      <c r="A111" s="144" t="s">
        <v>3356</v>
      </c>
      <c r="B111" s="60">
        <v>1497127.9899999998</v>
      </c>
      <c r="C111" s="60">
        <v>-16440.340000000084</v>
      </c>
      <c r="D111" s="60">
        <v>1480687.6499999997</v>
      </c>
      <c r="E111" s="60">
        <v>1383215.3099999996</v>
      </c>
      <c r="F111" s="60">
        <v>1383215.3099999996</v>
      </c>
      <c r="G111" s="77">
        <f t="shared" si="0"/>
        <v>97472.340000000084</v>
      </c>
    </row>
    <row r="112" spans="1:7" s="24" customFormat="1" x14ac:dyDescent="0.25">
      <c r="A112" s="144" t="s">
        <v>3357</v>
      </c>
      <c r="B112" s="60">
        <v>10190308.01</v>
      </c>
      <c r="C112" s="60">
        <v>42560.930000001565</v>
      </c>
      <c r="D112" s="60">
        <v>10232868.940000001</v>
      </c>
      <c r="E112" s="60">
        <v>9809638.1199999992</v>
      </c>
      <c r="F112" s="60">
        <v>9809638.1199999992</v>
      </c>
      <c r="G112" s="77">
        <f t="shared" si="0"/>
        <v>423230.82000000216</v>
      </c>
    </row>
    <row r="113" spans="1:7" s="24" customFormat="1" x14ac:dyDescent="0.25">
      <c r="A113" s="144" t="s">
        <v>3358</v>
      </c>
      <c r="B113" s="60">
        <v>4304019.74</v>
      </c>
      <c r="C113" s="60">
        <v>99160.820000000298</v>
      </c>
      <c r="D113" s="60">
        <v>4403180.5600000005</v>
      </c>
      <c r="E113" s="60">
        <v>3871523.8499999992</v>
      </c>
      <c r="F113" s="60">
        <v>3871523.8499999992</v>
      </c>
      <c r="G113" s="77">
        <f t="shared" si="0"/>
        <v>531656.71000000136</v>
      </c>
    </row>
    <row r="114" spans="1:7" s="24" customFormat="1" x14ac:dyDescent="0.25">
      <c r="A114" s="144" t="s">
        <v>3359</v>
      </c>
      <c r="B114" s="60">
        <v>892730.28999999992</v>
      </c>
      <c r="C114" s="60">
        <v>311452.76000000036</v>
      </c>
      <c r="D114" s="60">
        <v>1204183.0500000003</v>
      </c>
      <c r="E114" s="60">
        <v>1079765.56</v>
      </c>
      <c r="F114" s="60">
        <v>1079765.56</v>
      </c>
      <c r="G114" s="77">
        <f t="shared" si="0"/>
        <v>124417.49000000022</v>
      </c>
    </row>
    <row r="115" spans="1:7" s="24" customFormat="1" x14ac:dyDescent="0.25">
      <c r="A115" s="144" t="s">
        <v>3360</v>
      </c>
      <c r="B115" s="60">
        <v>0</v>
      </c>
      <c r="C115" s="60">
        <v>260009421.66999999</v>
      </c>
      <c r="D115" s="60">
        <v>260009421.66999999</v>
      </c>
      <c r="E115" s="60">
        <v>80297338.369999975</v>
      </c>
      <c r="F115" s="60">
        <v>80297338.369999975</v>
      </c>
      <c r="G115" s="77">
        <f t="shared" si="0"/>
        <v>179712083.30000001</v>
      </c>
    </row>
    <row r="116" spans="1:7" s="24" customFormat="1" x14ac:dyDescent="0.25">
      <c r="A116" s="144" t="s">
        <v>3361</v>
      </c>
      <c r="B116" s="60">
        <v>0</v>
      </c>
      <c r="C116" s="60">
        <v>51994928.989999995</v>
      </c>
      <c r="D116" s="60">
        <f>51994928.99-D131</f>
        <v>37582637.510000005</v>
      </c>
      <c r="E116" s="60">
        <f>50279157.89-E131</f>
        <v>35866866.409999996</v>
      </c>
      <c r="F116" s="60">
        <f>50279157.89-F131</f>
        <v>35866866.409999996</v>
      </c>
      <c r="G116" s="77">
        <f t="shared" si="0"/>
        <v>1715771.1000000089</v>
      </c>
    </row>
    <row r="117" spans="1:7" s="24" customFormat="1" x14ac:dyDescent="0.25">
      <c r="A117" s="144" t="s">
        <v>3362</v>
      </c>
      <c r="B117" s="60">
        <v>0</v>
      </c>
      <c r="C117" s="60">
        <v>16912839.59</v>
      </c>
      <c r="D117" s="60">
        <f>16912839.59-D132</f>
        <v>0</v>
      </c>
      <c r="E117" s="60">
        <f>16447577.37-E132</f>
        <v>0</v>
      </c>
      <c r="F117" s="60">
        <f>16447577.37-F132</f>
        <v>0</v>
      </c>
      <c r="G117" s="77">
        <f t="shared" si="0"/>
        <v>0</v>
      </c>
    </row>
    <row r="118" spans="1:7" s="24" customFormat="1" x14ac:dyDescent="0.25">
      <c r="A118" s="144"/>
      <c r="B118" s="60"/>
      <c r="C118" s="60"/>
      <c r="D118" s="60"/>
      <c r="E118" s="60"/>
      <c r="F118" s="60"/>
      <c r="G118" s="77"/>
    </row>
    <row r="119" spans="1:7" s="24" customFormat="1" x14ac:dyDescent="0.25">
      <c r="A119" s="144"/>
      <c r="B119" s="60"/>
      <c r="C119" s="60"/>
      <c r="D119" s="60"/>
      <c r="E119" s="60"/>
      <c r="F119" s="60"/>
      <c r="G119" s="77"/>
    </row>
    <row r="120" spans="1:7" s="24" customFormat="1" x14ac:dyDescent="0.25">
      <c r="A120" s="144" t="s">
        <v>433</v>
      </c>
      <c r="B120" s="60">
        <v>0</v>
      </c>
      <c r="C120" s="60">
        <v>0</v>
      </c>
      <c r="D120" s="60">
        <v>0</v>
      </c>
      <c r="E120" s="60">
        <v>0</v>
      </c>
      <c r="F120" s="60">
        <v>0</v>
      </c>
      <c r="G120" s="77">
        <f t="shared" ref="G120:G126" si="1">D120-E120</f>
        <v>0</v>
      </c>
    </row>
    <row r="121" spans="1:7" s="24" customFormat="1" x14ac:dyDescent="0.25">
      <c r="A121" s="144" t="s">
        <v>434</v>
      </c>
      <c r="B121" s="60">
        <v>0</v>
      </c>
      <c r="C121" s="60">
        <v>0</v>
      </c>
      <c r="D121" s="60">
        <v>0</v>
      </c>
      <c r="E121" s="60">
        <v>0</v>
      </c>
      <c r="F121" s="60">
        <v>0</v>
      </c>
      <c r="G121" s="77">
        <f t="shared" si="1"/>
        <v>0</v>
      </c>
    </row>
    <row r="122" spans="1:7" s="24" customFormat="1" x14ac:dyDescent="0.25">
      <c r="A122" s="144" t="s">
        <v>435</v>
      </c>
      <c r="B122" s="60">
        <v>0</v>
      </c>
      <c r="C122" s="60">
        <v>0</v>
      </c>
      <c r="D122" s="60">
        <v>0</v>
      </c>
      <c r="E122" s="60">
        <v>0</v>
      </c>
      <c r="F122" s="60">
        <v>0</v>
      </c>
      <c r="G122" s="77">
        <f t="shared" si="1"/>
        <v>0</v>
      </c>
    </row>
    <row r="123" spans="1:7" s="24" customFormat="1" x14ac:dyDescent="0.25">
      <c r="A123" s="144" t="s">
        <v>436</v>
      </c>
      <c r="B123" s="60">
        <v>0</v>
      </c>
      <c r="C123" s="60">
        <v>0</v>
      </c>
      <c r="D123" s="60">
        <v>0</v>
      </c>
      <c r="E123" s="60">
        <v>0</v>
      </c>
      <c r="F123" s="60">
        <v>0</v>
      </c>
      <c r="G123" s="77">
        <f t="shared" si="1"/>
        <v>0</v>
      </c>
    </row>
    <row r="124" spans="1:7" s="24" customFormat="1" x14ac:dyDescent="0.25">
      <c r="A124" s="144" t="s">
        <v>437</v>
      </c>
      <c r="B124" s="60">
        <v>0</v>
      </c>
      <c r="C124" s="60">
        <v>0</v>
      </c>
      <c r="D124" s="60">
        <v>0</v>
      </c>
      <c r="E124" s="60">
        <v>0</v>
      </c>
      <c r="F124" s="60">
        <v>0</v>
      </c>
      <c r="G124" s="77">
        <f t="shared" si="1"/>
        <v>0</v>
      </c>
    </row>
    <row r="125" spans="1:7" s="24" customFormat="1" x14ac:dyDescent="0.25">
      <c r="A125" s="144" t="s">
        <v>438</v>
      </c>
      <c r="B125" s="60">
        <v>0</v>
      </c>
      <c r="C125" s="60">
        <v>0</v>
      </c>
      <c r="D125" s="60">
        <v>0</v>
      </c>
      <c r="E125" s="60">
        <v>0</v>
      </c>
      <c r="F125" s="60">
        <v>0</v>
      </c>
      <c r="G125" s="77">
        <f t="shared" si="1"/>
        <v>0</v>
      </c>
    </row>
    <row r="126" spans="1:7" s="24" customFormat="1" x14ac:dyDescent="0.25">
      <c r="A126" s="144" t="s">
        <v>439</v>
      </c>
      <c r="B126" s="60">
        <v>0</v>
      </c>
      <c r="C126" s="60">
        <v>0</v>
      </c>
      <c r="D126" s="60">
        <v>0</v>
      </c>
      <c r="E126" s="60">
        <v>0</v>
      </c>
      <c r="F126" s="60">
        <v>0</v>
      </c>
      <c r="G126" s="77">
        <f t="shared" si="1"/>
        <v>0</v>
      </c>
    </row>
    <row r="127" spans="1:7" x14ac:dyDescent="0.25">
      <c r="A127" s="76" t="s">
        <v>686</v>
      </c>
      <c r="B127" s="54"/>
      <c r="C127" s="54"/>
      <c r="D127" s="54"/>
      <c r="E127" s="54"/>
      <c r="F127" s="54"/>
      <c r="G127" s="54"/>
    </row>
    <row r="128" spans="1:7" s="24" customFormat="1" x14ac:dyDescent="0.25">
      <c r="A128" s="55" t="s">
        <v>441</v>
      </c>
      <c r="B128" s="61">
        <f>SUM(B129:GASTO_E_FIN_01)</f>
        <v>136701828.80000001</v>
      </c>
      <c r="C128" s="61">
        <f>SUM(C129:GASTO_E_FIN_02)</f>
        <v>38863989.129999943</v>
      </c>
      <c r="D128" s="61">
        <f>SUM(D129:GASTO_E_FIN_03)</f>
        <v>175565817.92999995</v>
      </c>
      <c r="E128" s="61">
        <f>SUM(E129:GASTO_E_FIN_04)</f>
        <v>115518199.28999999</v>
      </c>
      <c r="F128" s="61">
        <f>SUM(F129:GASTO_E_FIN_05)</f>
        <v>115518199.28999999</v>
      </c>
      <c r="G128" s="61">
        <f>SUM(G129:GASTO_E_FIN_06)</f>
        <v>60047618.639999971</v>
      </c>
    </row>
    <row r="129" spans="1:7" s="24" customFormat="1" x14ac:dyDescent="0.25">
      <c r="A129" s="144" t="s">
        <v>3316</v>
      </c>
      <c r="B129" s="60">
        <v>0</v>
      </c>
      <c r="C129" s="60">
        <f>D129-B129</f>
        <v>4000000</v>
      </c>
      <c r="D129" s="60">
        <v>4000000</v>
      </c>
      <c r="E129" s="60">
        <v>0</v>
      </c>
      <c r="F129" s="60">
        <v>0</v>
      </c>
      <c r="G129" s="60">
        <f>D129-E129</f>
        <v>4000000</v>
      </c>
    </row>
    <row r="130" spans="1:7" s="24" customFormat="1" x14ac:dyDescent="0.25">
      <c r="A130" s="144" t="s">
        <v>3346</v>
      </c>
      <c r="B130" s="60">
        <v>136701828.80000001</v>
      </c>
      <c r="C130" s="60">
        <f>D130-B130</f>
        <v>3538858.0599999428</v>
      </c>
      <c r="D130" s="60">
        <v>140240686.85999995</v>
      </c>
      <c r="E130" s="60">
        <v>84658330.439999983</v>
      </c>
      <c r="F130" s="60">
        <v>84658330.439999983</v>
      </c>
      <c r="G130" s="60">
        <f t="shared" ref="G130:G133" si="2">D130-E130</f>
        <v>55582356.419999972</v>
      </c>
    </row>
    <row r="131" spans="1:7" s="24" customFormat="1" x14ac:dyDescent="0.25">
      <c r="A131" s="144" t="s">
        <v>3361</v>
      </c>
      <c r="B131" s="60"/>
      <c r="C131" s="60">
        <f>D131-B131</f>
        <v>14412291.48</v>
      </c>
      <c r="D131" s="60">
        <v>14412291.48</v>
      </c>
      <c r="E131" s="60">
        <v>14412291.48</v>
      </c>
      <c r="F131" s="60">
        <v>14412291.48</v>
      </c>
      <c r="G131" s="60">
        <f t="shared" si="2"/>
        <v>0</v>
      </c>
    </row>
    <row r="132" spans="1:7" s="24" customFormat="1" x14ac:dyDescent="0.25">
      <c r="A132" s="144" t="s">
        <v>3362</v>
      </c>
      <c r="B132" s="60"/>
      <c r="C132" s="60">
        <f>D132-B132</f>
        <v>16912839.59</v>
      </c>
      <c r="D132" s="60">
        <v>16912839.59</v>
      </c>
      <c r="E132" s="60">
        <v>16447577.370000001</v>
      </c>
      <c r="F132" s="60">
        <v>16447577.370000001</v>
      </c>
      <c r="G132" s="60">
        <f t="shared" si="2"/>
        <v>465262.21999999881</v>
      </c>
    </row>
    <row r="133" spans="1:7" s="24" customFormat="1" x14ac:dyDescent="0.25">
      <c r="A133" s="144"/>
      <c r="B133" s="60"/>
      <c r="C133" s="60"/>
      <c r="D133" s="60"/>
      <c r="E133" s="60"/>
      <c r="F133" s="60"/>
      <c r="G133" s="60">
        <f t="shared" si="2"/>
        <v>0</v>
      </c>
    </row>
    <row r="134" spans="1:7" s="24" customFormat="1" x14ac:dyDescent="0.25">
      <c r="A134" s="144" t="s">
        <v>433</v>
      </c>
      <c r="B134" s="60">
        <v>0</v>
      </c>
      <c r="C134" s="60">
        <v>0</v>
      </c>
      <c r="D134" s="60">
        <v>0</v>
      </c>
      <c r="E134" s="60">
        <v>0</v>
      </c>
      <c r="F134" s="60">
        <v>0</v>
      </c>
      <c r="G134" s="60">
        <f t="shared" ref="G134:G140" si="3">D134-E134</f>
        <v>0</v>
      </c>
    </row>
    <row r="135" spans="1:7" s="24" customFormat="1" x14ac:dyDescent="0.25">
      <c r="A135" s="144" t="s">
        <v>434</v>
      </c>
      <c r="B135" s="60">
        <v>0</v>
      </c>
      <c r="C135" s="60">
        <v>0</v>
      </c>
      <c r="D135" s="60">
        <v>0</v>
      </c>
      <c r="E135" s="60">
        <v>0</v>
      </c>
      <c r="F135" s="60">
        <v>0</v>
      </c>
      <c r="G135" s="60">
        <f t="shared" si="3"/>
        <v>0</v>
      </c>
    </row>
    <row r="136" spans="1:7" s="24" customFormat="1" x14ac:dyDescent="0.25">
      <c r="A136" s="144" t="s">
        <v>435</v>
      </c>
      <c r="B136" s="60">
        <v>0</v>
      </c>
      <c r="C136" s="60">
        <v>0</v>
      </c>
      <c r="D136" s="60">
        <v>0</v>
      </c>
      <c r="E136" s="60">
        <v>0</v>
      </c>
      <c r="F136" s="60">
        <v>0</v>
      </c>
      <c r="G136" s="60">
        <f t="shared" si="3"/>
        <v>0</v>
      </c>
    </row>
    <row r="137" spans="1:7" s="24" customFormat="1" x14ac:dyDescent="0.25">
      <c r="A137" s="144" t="s">
        <v>436</v>
      </c>
      <c r="B137" s="60">
        <v>0</v>
      </c>
      <c r="C137" s="60">
        <v>0</v>
      </c>
      <c r="D137" s="60">
        <v>0</v>
      </c>
      <c r="E137" s="60">
        <v>0</v>
      </c>
      <c r="F137" s="60">
        <v>0</v>
      </c>
      <c r="G137" s="60">
        <f t="shared" si="3"/>
        <v>0</v>
      </c>
    </row>
    <row r="138" spans="1:7" s="24" customFormat="1" x14ac:dyDescent="0.25">
      <c r="A138" s="144" t="s">
        <v>437</v>
      </c>
      <c r="B138" s="60">
        <v>0</v>
      </c>
      <c r="C138" s="60">
        <v>0</v>
      </c>
      <c r="D138" s="60">
        <v>0</v>
      </c>
      <c r="E138" s="60">
        <v>0</v>
      </c>
      <c r="F138" s="60">
        <v>0</v>
      </c>
      <c r="G138" s="60">
        <f t="shared" si="3"/>
        <v>0</v>
      </c>
    </row>
    <row r="139" spans="1:7" s="24" customFormat="1" x14ac:dyDescent="0.25">
      <c r="A139" s="144" t="s">
        <v>438</v>
      </c>
      <c r="B139" s="60">
        <v>0</v>
      </c>
      <c r="C139" s="60">
        <v>0</v>
      </c>
      <c r="D139" s="60">
        <v>0</v>
      </c>
      <c r="E139" s="60">
        <v>0</v>
      </c>
      <c r="F139" s="60">
        <v>0</v>
      </c>
      <c r="G139" s="60">
        <f t="shared" si="3"/>
        <v>0</v>
      </c>
    </row>
    <row r="140" spans="1:7" s="24" customFormat="1" x14ac:dyDescent="0.25">
      <c r="A140" s="144" t="s">
        <v>439</v>
      </c>
      <c r="B140" s="60">
        <v>0</v>
      </c>
      <c r="C140" s="60">
        <v>0</v>
      </c>
      <c r="D140" s="60">
        <v>0</v>
      </c>
      <c r="E140" s="60">
        <v>0</v>
      </c>
      <c r="F140" s="60">
        <v>0</v>
      </c>
      <c r="G140" s="60">
        <f t="shared" si="3"/>
        <v>0</v>
      </c>
    </row>
    <row r="141" spans="1:7" x14ac:dyDescent="0.25">
      <c r="A141" s="76" t="s">
        <v>686</v>
      </c>
      <c r="B141" s="54"/>
      <c r="C141" s="54"/>
      <c r="D141" s="54"/>
      <c r="E141" s="54"/>
      <c r="F141" s="54"/>
      <c r="G141" s="54"/>
    </row>
    <row r="142" spans="1:7" x14ac:dyDescent="0.25">
      <c r="A142" s="55" t="s">
        <v>360</v>
      </c>
      <c r="B142" s="61">
        <f>GASTO_NE_T1+GASTO_E_T1</f>
        <v>586603556.63</v>
      </c>
      <c r="C142" s="61">
        <f>GASTO_NE_T2+GASTO_E_T2</f>
        <v>397644122.39999998</v>
      </c>
      <c r="D142" s="61">
        <f>GASTO_NE_T3+GASTO_E_T3</f>
        <v>948922547.95999992</v>
      </c>
      <c r="E142" s="61">
        <f>GASTO_NE_T4+GASTO_E_T4</f>
        <v>576772221.79789996</v>
      </c>
      <c r="F142" s="61">
        <f>GASTO_NE_T5+GASTO_E_T5</f>
        <v>576772221.79789996</v>
      </c>
      <c r="G142" s="61">
        <f>GASTO_NE_T6+GASTO_E_T6</f>
        <v>372150326.16210008</v>
      </c>
    </row>
    <row r="143" spans="1:7" x14ac:dyDescent="0.25">
      <c r="A143" s="58"/>
      <c r="B143" s="65"/>
      <c r="C143" s="65"/>
      <c r="D143" s="65"/>
      <c r="E143" s="65"/>
      <c r="F143" s="65"/>
      <c r="G143" s="78"/>
    </row>
    <row r="144" spans="1:7" hidden="1" x14ac:dyDescent="0.25">
      <c r="A144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142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449901727.82999998</v>
      </c>
      <c r="Q2" s="18">
        <f>GASTO_NE_T2</f>
        <v>358780133.27000004</v>
      </c>
      <c r="R2" s="18">
        <f>GASTO_NE_T3</f>
        <v>773356730.02999997</v>
      </c>
      <c r="S2" s="18">
        <f>GASTO_NE_T4</f>
        <v>461254022.5079</v>
      </c>
      <c r="T2" s="18">
        <f>GASTO_NE_T5</f>
        <v>461254022.5079</v>
      </c>
      <c r="U2" s="18">
        <f>GASTO_NE_T6</f>
        <v>312102707.52210009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136701828.80000001</v>
      </c>
      <c r="Q3" s="18">
        <f>GASTO_E_T2</f>
        <v>38863989.129999943</v>
      </c>
      <c r="R3" s="18">
        <f>GASTO_E_T3</f>
        <v>175565817.92999995</v>
      </c>
      <c r="S3" s="18">
        <f>GASTO_E_T4</f>
        <v>115518199.28999999</v>
      </c>
      <c r="T3" s="18">
        <f>GASTO_E_T5</f>
        <v>115518199.28999999</v>
      </c>
      <c r="U3" s="18">
        <f>GASTO_E_T6</f>
        <v>60047618.639999971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586603556.63</v>
      </c>
      <c r="Q4" s="18">
        <f>TOTAL_E_T2</f>
        <v>397644122.39999998</v>
      </c>
      <c r="R4" s="18">
        <f>TOTAL_E_T3</f>
        <v>948922547.95999992</v>
      </c>
      <c r="S4" s="18">
        <f>TOTAL_E_T4</f>
        <v>576772221.79789996</v>
      </c>
      <c r="T4" s="18">
        <f>TOTAL_E_T5</f>
        <v>576772221.79789996</v>
      </c>
      <c r="U4" s="18">
        <f>TOTAL_E_T6</f>
        <v>372150326.16210008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58" zoomScale="90" zoomScaleNormal="90" zoomScalePageLayoutView="90" workbookViewId="0">
      <selection activeCell="C55" sqref="C55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2" t="s">
        <v>3289</v>
      </c>
      <c r="B1" s="183"/>
      <c r="C1" s="183"/>
      <c r="D1" s="183"/>
      <c r="E1" s="183"/>
      <c r="F1" s="183"/>
      <c r="G1" s="183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0" t="s">
        <v>396</v>
      </c>
      <c r="B3" s="161"/>
      <c r="C3" s="161"/>
      <c r="D3" s="161"/>
      <c r="E3" s="161"/>
      <c r="F3" s="161"/>
      <c r="G3" s="162"/>
    </row>
    <row r="4" spans="1:7" x14ac:dyDescent="0.25">
      <c r="A4" s="160" t="s">
        <v>397</v>
      </c>
      <c r="B4" s="161"/>
      <c r="C4" s="161"/>
      <c r="D4" s="161"/>
      <c r="E4" s="161"/>
      <c r="F4" s="161"/>
      <c r="G4" s="162"/>
    </row>
    <row r="5" spans="1:7" x14ac:dyDescent="0.25">
      <c r="A5" s="163" t="str">
        <f>TRIMESTRE</f>
        <v>Del 1 de enero al 31 de diciembre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61" t="s">
        <v>0</v>
      </c>
      <c r="B7" s="166" t="s">
        <v>279</v>
      </c>
      <c r="C7" s="167"/>
      <c r="D7" s="167"/>
      <c r="E7" s="167"/>
      <c r="F7" s="168"/>
      <c r="G7" s="178" t="s">
        <v>3286</v>
      </c>
    </row>
    <row r="8" spans="1:7" ht="30.75" customHeight="1" x14ac:dyDescent="0.25">
      <c r="A8" s="161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7"/>
    </row>
    <row r="9" spans="1:7" x14ac:dyDescent="0.25">
      <c r="A9" s="52" t="s">
        <v>363</v>
      </c>
      <c r="B9" s="70">
        <f>SUM(B10,B19,B27,B37)</f>
        <v>449901727.83390468</v>
      </c>
      <c r="C9" s="70">
        <f t="shared" ref="C9:G9" si="0">SUM(C10,C19,C27,C37)</f>
        <v>323455002.19609529</v>
      </c>
      <c r="D9" s="70">
        <f t="shared" si="0"/>
        <v>773356730.02999997</v>
      </c>
      <c r="E9" s="70">
        <f t="shared" si="0"/>
        <v>461254022.5078997</v>
      </c>
      <c r="F9" s="70">
        <f t="shared" si="0"/>
        <v>461254022.5078997</v>
      </c>
      <c r="G9" s="70">
        <f t="shared" si="0"/>
        <v>312102707.52210027</v>
      </c>
    </row>
    <row r="10" spans="1:7" x14ac:dyDescent="0.2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449901727.83390468</v>
      </c>
      <c r="C19" s="71">
        <f t="shared" ref="C19:F19" si="3">SUM(C20:C26)</f>
        <v>323455002.19609529</v>
      </c>
      <c r="D19" s="71">
        <f t="shared" si="3"/>
        <v>773356730.02999997</v>
      </c>
      <c r="E19" s="71">
        <f t="shared" si="3"/>
        <v>461254022.5078997</v>
      </c>
      <c r="F19" s="71">
        <f t="shared" si="3"/>
        <v>461254022.5078997</v>
      </c>
      <c r="G19" s="71">
        <f>SUM(G20:G26)</f>
        <v>312102707.52210027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449901727.83390468</v>
      </c>
      <c r="C21" s="71">
        <f>D21-B21</f>
        <v>323455002.19609529</v>
      </c>
      <c r="D21" s="71">
        <v>773356730.02999997</v>
      </c>
      <c r="E21" s="71">
        <v>461254022.5078997</v>
      </c>
      <c r="F21" s="71">
        <v>461254022.5078997</v>
      </c>
      <c r="G21" s="72">
        <f t="shared" ref="G21:G22" si="4">D21-E21</f>
        <v>312102707.52210027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53" t="s">
        <v>381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</row>
    <row r="37" spans="1:7" ht="30" x14ac:dyDescent="0.25">
      <c r="A37" s="64" t="s">
        <v>398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72">
        <v>0</v>
      </c>
      <c r="F39" s="72">
        <v>0</v>
      </c>
      <c r="G39" s="71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</row>
    <row r="42" spans="1:7" x14ac:dyDescent="0.25">
      <c r="A42" s="69"/>
      <c r="B42" s="72"/>
      <c r="C42" s="72"/>
      <c r="D42" s="72"/>
      <c r="E42" s="72"/>
      <c r="F42" s="72"/>
      <c r="G42" s="72">
        <v>0</v>
      </c>
    </row>
    <row r="43" spans="1:7" x14ac:dyDescent="0.25">
      <c r="A43" s="55" t="s">
        <v>395</v>
      </c>
      <c r="B43" s="73">
        <f>SUM(B44,B53,B61,B71)</f>
        <v>136701829.80000001</v>
      </c>
      <c r="C43" s="73">
        <f t="shared" ref="C43:G43" si="5">SUM(C44,C53,C61,C71)</f>
        <v>38863989.129999936</v>
      </c>
      <c r="D43" s="73">
        <f t="shared" si="5"/>
        <v>175565817.92999995</v>
      </c>
      <c r="E43" s="73">
        <f t="shared" si="5"/>
        <v>115518199.28999998</v>
      </c>
      <c r="F43" s="73">
        <f t="shared" si="5"/>
        <v>115518199.28999998</v>
      </c>
      <c r="G43" s="73">
        <f t="shared" si="5"/>
        <v>60047618.639999971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/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7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7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7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7"/>
        <v>0</v>
      </c>
    </row>
    <row r="53" spans="1:7" x14ac:dyDescent="0.25">
      <c r="A53" s="53" t="s">
        <v>373</v>
      </c>
      <c r="B53" s="71">
        <f>SUM(B54:B60)</f>
        <v>136701828.80000001</v>
      </c>
      <c r="C53" s="71">
        <f t="shared" ref="C53:G53" si="8">SUM(C54:C60)</f>
        <v>38863989.129999936</v>
      </c>
      <c r="D53" s="71">
        <f t="shared" si="8"/>
        <v>175565817.92999995</v>
      </c>
      <c r="E53" s="71">
        <f t="shared" si="8"/>
        <v>115518199.28999998</v>
      </c>
      <c r="F53" s="71">
        <f t="shared" si="8"/>
        <v>115518199.28999998</v>
      </c>
      <c r="G53" s="71">
        <f t="shared" si="8"/>
        <v>60047618.639999971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23">
        <v>136701828.80000001</v>
      </c>
      <c r="C55" s="71">
        <f>D55-B55</f>
        <v>38863989.129999936</v>
      </c>
      <c r="D55" s="71">
        <v>175565817.92999995</v>
      </c>
      <c r="E55" s="71">
        <v>115518199.28999998</v>
      </c>
      <c r="F55" s="71">
        <v>115518199.28999998</v>
      </c>
      <c r="G55" s="72">
        <f t="shared" ref="G55:G60" si="9">D55-E55</f>
        <v>60047618.639999971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9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9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9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9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9"/>
        <v>0</v>
      </c>
    </row>
    <row r="61" spans="1:7" x14ac:dyDescent="0.25">
      <c r="A61" s="53" t="s">
        <v>381</v>
      </c>
      <c r="B61" s="71">
        <f>SUM(B62:B70)</f>
        <v>1</v>
      </c>
      <c r="C61" s="71">
        <v>0</v>
      </c>
      <c r="D61" s="71">
        <v>0</v>
      </c>
      <c r="E61" s="71">
        <v>0</v>
      </c>
      <c r="F61" s="71">
        <v>0</v>
      </c>
      <c r="G61" s="71">
        <f t="shared" ref="G61" si="10">SUM(G62:G70)</f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1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3299</v>
      </c>
      <c r="B71" s="74">
        <v>0</v>
      </c>
      <c r="C71" s="74">
        <f t="shared" ref="C71" si="12">SUM(C72:C75)</f>
        <v>0</v>
      </c>
      <c r="D71" s="74">
        <v>0</v>
      </c>
      <c r="E71" s="74">
        <v>0</v>
      </c>
      <c r="F71" s="74"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586603557.6339047</v>
      </c>
      <c r="C77" s="73">
        <f t="shared" ref="C77:F77" si="14">C43+C9</f>
        <v>362318991.32609522</v>
      </c>
      <c r="D77" s="73">
        <f t="shared" si="14"/>
        <v>948922547.95999992</v>
      </c>
      <c r="E77" s="73">
        <f t="shared" si="14"/>
        <v>576772221.79789972</v>
      </c>
      <c r="F77" s="73">
        <f t="shared" si="14"/>
        <v>576772221.79789972</v>
      </c>
      <c r="G77" s="73">
        <f>G43+G9</f>
        <v>372150326.16210026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449901727.83390468</v>
      </c>
      <c r="Q2" s="18">
        <f>'Formato 6 c)'!C9</f>
        <v>323455002.19609529</v>
      </c>
      <c r="R2" s="18">
        <f>'Formato 6 c)'!D9</f>
        <v>773356730.02999997</v>
      </c>
      <c r="S2" s="18">
        <f>'Formato 6 c)'!E9</f>
        <v>461254022.5078997</v>
      </c>
      <c r="T2" s="18">
        <f>'Formato 6 c)'!F9</f>
        <v>461254022.5078997</v>
      </c>
      <c r="U2" s="18">
        <f>'Formato 6 c)'!G9</f>
        <v>312102707.52210027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449901727.83390468</v>
      </c>
      <c r="Q12" s="18">
        <f>'Formato 6 c)'!C19</f>
        <v>323455002.19609529</v>
      </c>
      <c r="R12" s="18">
        <f>'Formato 6 c)'!D19</f>
        <v>773356730.02999997</v>
      </c>
      <c r="S12" s="18">
        <f>'Formato 6 c)'!E19</f>
        <v>461254022.5078997</v>
      </c>
      <c r="T12" s="18">
        <f>'Formato 6 c)'!F19</f>
        <v>461254022.5078997</v>
      </c>
      <c r="U12" s="18">
        <f>'Formato 6 c)'!G19</f>
        <v>312102707.52210027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449901727.83390468</v>
      </c>
      <c r="Q14" s="18">
        <f>'Formato 6 c)'!C21</f>
        <v>323455002.19609529</v>
      </c>
      <c r="R14" s="18">
        <f>'Formato 6 c)'!D21</f>
        <v>773356730.02999997</v>
      </c>
      <c r="S14" s="18">
        <f>'Formato 6 c)'!E21</f>
        <v>461254022.5078997</v>
      </c>
      <c r="T14" s="18">
        <f>'Formato 6 c)'!F21</f>
        <v>461254022.5078997</v>
      </c>
      <c r="U14" s="18">
        <f>'Formato 6 c)'!G21</f>
        <v>312102707.52210027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136701829.80000001</v>
      </c>
      <c r="Q35" s="18">
        <f>'Formato 6 c)'!C43</f>
        <v>38863989.129999936</v>
      </c>
      <c r="R35" s="18">
        <f>'Formato 6 c)'!D43</f>
        <v>175565817.92999995</v>
      </c>
      <c r="S35" s="18">
        <f>'Formato 6 c)'!E43</f>
        <v>115518199.28999998</v>
      </c>
      <c r="T35" s="18">
        <f>'Formato 6 c)'!F43</f>
        <v>115518199.28999998</v>
      </c>
      <c r="U35" s="18">
        <f>'Formato 6 c)'!G43</f>
        <v>60047618.639999971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136701828.80000001</v>
      </c>
      <c r="Q45" s="18">
        <f>'Formato 6 c)'!C53</f>
        <v>38863989.129999936</v>
      </c>
      <c r="R45" s="18">
        <f>'Formato 6 c)'!D53</f>
        <v>175565817.92999995</v>
      </c>
      <c r="S45" s="18">
        <f>'Formato 6 c)'!E53</f>
        <v>115518199.28999998</v>
      </c>
      <c r="T45" s="18">
        <f>'Formato 6 c)'!F53</f>
        <v>115518199.28999998</v>
      </c>
      <c r="U45" s="18">
        <f>'Formato 6 c)'!G53</f>
        <v>60047618.639999971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136701828.80000001</v>
      </c>
      <c r="Q47" s="18">
        <f>'Formato 6 c)'!C55</f>
        <v>38863989.129999936</v>
      </c>
      <c r="R47" s="18">
        <f>'Formato 6 c)'!D55</f>
        <v>175565817.92999995</v>
      </c>
      <c r="S47" s="18">
        <f>'Formato 6 c)'!E55</f>
        <v>115518199.28999998</v>
      </c>
      <c r="T47" s="18">
        <f>'Formato 6 c)'!F55</f>
        <v>115518199.28999998</v>
      </c>
      <c r="U47" s="18">
        <f>'Formato 6 c)'!G55</f>
        <v>60047618.639999971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1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1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586603557.6339047</v>
      </c>
      <c r="Q68" s="18">
        <f>'Formato 6 c)'!C77</f>
        <v>362318991.32609522</v>
      </c>
      <c r="R68" s="18">
        <f>'Formato 6 c)'!D77</f>
        <v>948922547.95999992</v>
      </c>
      <c r="S68" s="18">
        <f>'Formato 6 c)'!E77</f>
        <v>576772221.79789972</v>
      </c>
      <c r="T68" s="18">
        <f>'Formato 6 c)'!F77</f>
        <v>576772221.79789972</v>
      </c>
      <c r="U68" s="18">
        <f>'Formato 6 c)'!G77</f>
        <v>372150326.16210026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1144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794</v>
      </c>
      <c r="C12" s="24">
        <v>2019</v>
      </c>
    </row>
    <row r="14" spans="2:3" x14ac:dyDescent="0.25">
      <c r="B14" t="s">
        <v>793</v>
      </c>
      <c r="C14" s="24" t="s">
        <v>3302</v>
      </c>
    </row>
    <row r="15" spans="2:3" x14ac:dyDescent="0.25">
      <c r="C15" s="24">
        <v>4</v>
      </c>
    </row>
    <row r="16" spans="2:3" x14ac:dyDescent="0.25">
      <c r="C16" s="24" t="s">
        <v>3303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60" x14ac:dyDescent="0.2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x14ac:dyDescent="0.2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x14ac:dyDescent="0.25">
      <c r="D26" s="92"/>
    </row>
    <row r="29" spans="4:9" x14ac:dyDescent="0.2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topLeftCell="A2" zoomScale="90" zoomScaleNormal="90" zoomScalePageLayoutView="90" workbookViewId="0">
      <selection activeCell="A24" sqref="A24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6" t="s">
        <v>3287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9"/>
    </row>
    <row r="3" spans="1:7" x14ac:dyDescent="0.25">
      <c r="A3" s="163" t="s">
        <v>277</v>
      </c>
      <c r="B3" s="164"/>
      <c r="C3" s="164"/>
      <c r="D3" s="164"/>
      <c r="E3" s="164"/>
      <c r="F3" s="164"/>
      <c r="G3" s="165"/>
    </row>
    <row r="4" spans="1:7" x14ac:dyDescent="0.25">
      <c r="A4" s="163" t="s">
        <v>399</v>
      </c>
      <c r="B4" s="164"/>
      <c r="C4" s="164"/>
      <c r="D4" s="164"/>
      <c r="E4" s="164"/>
      <c r="F4" s="164"/>
      <c r="G4" s="165"/>
    </row>
    <row r="5" spans="1:7" x14ac:dyDescent="0.25">
      <c r="A5" s="163" t="str">
        <f>TRIMESTRE</f>
        <v>Del 1 de enero al 31 de diciembre de 2019 (b)</v>
      </c>
      <c r="B5" s="164"/>
      <c r="C5" s="164"/>
      <c r="D5" s="164"/>
      <c r="E5" s="164"/>
      <c r="F5" s="164"/>
      <c r="G5" s="165"/>
    </row>
    <row r="6" spans="1:7" x14ac:dyDescent="0.25">
      <c r="A6" s="166" t="s">
        <v>118</v>
      </c>
      <c r="B6" s="167"/>
      <c r="C6" s="167"/>
      <c r="D6" s="167"/>
      <c r="E6" s="167"/>
      <c r="F6" s="167"/>
      <c r="G6" s="168"/>
    </row>
    <row r="7" spans="1:7" x14ac:dyDescent="0.25">
      <c r="A7" s="172" t="s">
        <v>361</v>
      </c>
      <c r="B7" s="177" t="s">
        <v>279</v>
      </c>
      <c r="C7" s="177"/>
      <c r="D7" s="177"/>
      <c r="E7" s="177"/>
      <c r="F7" s="177"/>
      <c r="G7" s="177" t="s">
        <v>280</v>
      </c>
    </row>
    <row r="8" spans="1:7" ht="29.25" customHeight="1" x14ac:dyDescent="0.25">
      <c r="A8" s="173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4"/>
    </row>
    <row r="9" spans="1:7" x14ac:dyDescent="0.25">
      <c r="A9" s="52" t="s">
        <v>400</v>
      </c>
      <c r="B9" s="66">
        <f>SUM(B10,B11,B12,B15,B16,B19)</f>
        <v>114851276.38</v>
      </c>
      <c r="C9" s="66">
        <f t="shared" ref="C9:F9" si="0">SUM(C10,C11,C12,C15,C16,C19)</f>
        <v>0</v>
      </c>
      <c r="D9" s="66">
        <f t="shared" si="0"/>
        <v>114851276.38</v>
      </c>
      <c r="E9" s="66">
        <f t="shared" si="0"/>
        <v>111808624.745</v>
      </c>
      <c r="F9" s="66">
        <f t="shared" si="0"/>
        <v>111808624.745</v>
      </c>
      <c r="G9" s="66">
        <f>SUM(G10,G11,G12,G15,G16,G19)</f>
        <v>3042651.6349999905</v>
      </c>
    </row>
    <row r="10" spans="1:7" x14ac:dyDescent="0.25">
      <c r="A10" s="53" t="s">
        <v>401</v>
      </c>
      <c r="B10" s="67">
        <v>114851276.38</v>
      </c>
      <c r="C10" s="67">
        <v>0</v>
      </c>
      <c r="D10" s="67">
        <v>114851276.38</v>
      </c>
      <c r="E10" s="67">
        <v>111808624.745</v>
      </c>
      <c r="F10" s="67">
        <v>111808624.745</v>
      </c>
      <c r="G10" s="67">
        <f>D10-E10</f>
        <v>3042651.6349999905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v>0</v>
      </c>
      <c r="C12" s="67">
        <f t="shared" ref="C12" si="1">C13+C14</f>
        <v>0</v>
      </c>
      <c r="D12" s="67">
        <v>0</v>
      </c>
      <c r="E12" s="67">
        <v>0</v>
      </c>
      <c r="F12" s="67"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v>0</v>
      </c>
      <c r="C16" s="67">
        <f t="shared" ref="C16:G16" si="3">C17+C18</f>
        <v>0</v>
      </c>
      <c r="D16" s="67">
        <v>0</v>
      </c>
      <c r="E16" s="67">
        <v>0</v>
      </c>
      <c r="F16" s="67"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v>0</v>
      </c>
      <c r="C21" s="66">
        <v>0</v>
      </c>
      <c r="D21" s="66">
        <f t="shared" ref="D21:F21" si="4">SUM(D22,D23,D24,D27,D28,D31)</f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v>0</v>
      </c>
      <c r="C24" s="67">
        <f t="shared" ref="C24:G24" si="5">C25+C26</f>
        <v>0</v>
      </c>
      <c r="D24" s="67"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v>0</v>
      </c>
      <c r="C28" s="67">
        <f t="shared" ref="C28:G28" si="7">C29+C30</f>
        <v>0</v>
      </c>
      <c r="D28" s="67">
        <v>0</v>
      </c>
      <c r="E28" s="67"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114851276.38</v>
      </c>
      <c r="C33" s="66">
        <f t="shared" ref="C33:G33" si="9">C21+C9</f>
        <v>0</v>
      </c>
      <c r="D33" s="66">
        <f t="shared" si="9"/>
        <v>114851276.38</v>
      </c>
      <c r="E33" s="66">
        <f t="shared" si="9"/>
        <v>111808624.745</v>
      </c>
      <c r="F33" s="66">
        <f t="shared" si="9"/>
        <v>111808624.745</v>
      </c>
      <c r="G33" s="66">
        <f t="shared" si="9"/>
        <v>3042651.6349999905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114851276.38</v>
      </c>
      <c r="Q2" s="18">
        <f>'Formato 6 d)'!C9</f>
        <v>0</v>
      </c>
      <c r="R2" s="18">
        <f>'Formato 6 d)'!D9</f>
        <v>114851276.38</v>
      </c>
      <c r="S2" s="18">
        <f>'Formato 6 d)'!E9</f>
        <v>111808624.745</v>
      </c>
      <c r="T2" s="18">
        <f>'Formato 6 d)'!F9</f>
        <v>111808624.745</v>
      </c>
      <c r="U2" s="18">
        <f>'Formato 6 d)'!G9</f>
        <v>3042651.6349999905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114851276.38</v>
      </c>
      <c r="Q3" s="18">
        <f>'Formato 6 d)'!C10</f>
        <v>0</v>
      </c>
      <c r="R3" s="18">
        <f>'Formato 6 d)'!D10</f>
        <v>114851276.38</v>
      </c>
      <c r="S3" s="18">
        <f>'Formato 6 d)'!E10</f>
        <v>111808624.745</v>
      </c>
      <c r="T3" s="18">
        <f>'Formato 6 d)'!F10</f>
        <v>111808624.745</v>
      </c>
      <c r="U3" s="18">
        <f>'Formato 6 d)'!G10</f>
        <v>3042651.6349999905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114851276.38</v>
      </c>
      <c r="Q24" s="18">
        <f>'Formato 6 d)'!C33</f>
        <v>0</v>
      </c>
      <c r="R24" s="18">
        <f>'Formato 6 d)'!D33</f>
        <v>114851276.38</v>
      </c>
      <c r="S24" s="18">
        <f>'Formato 6 d)'!E33</f>
        <v>111808624.745</v>
      </c>
      <c r="T24" s="18">
        <f>'Formato 6 d)'!F33</f>
        <v>111808624.745</v>
      </c>
      <c r="U24" s="18">
        <f>'Formato 6 d)'!G33</f>
        <v>3042651.6349999905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topLeftCell="A2" zoomScale="85" zoomScaleNormal="85" zoomScalePageLayoutView="85" workbookViewId="0">
      <selection activeCell="B20" sqref="B20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5" t="s">
        <v>413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414</v>
      </c>
      <c r="B3" s="161"/>
      <c r="C3" s="161"/>
      <c r="D3" s="161"/>
      <c r="E3" s="161"/>
      <c r="F3" s="161"/>
      <c r="G3" s="162"/>
    </row>
    <row r="4" spans="1:7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x14ac:dyDescent="0.25">
      <c r="A6" s="172" t="s">
        <v>3288</v>
      </c>
      <c r="B6" s="51">
        <f>ANIO1P</f>
        <v>2020</v>
      </c>
      <c r="C6" s="185" t="str">
        <f>ANIO2P</f>
        <v>2021 (d)</v>
      </c>
      <c r="D6" s="185" t="str">
        <f>ANIO3P</f>
        <v>2022 (d)</v>
      </c>
      <c r="E6" s="185" t="str">
        <f>ANIO4P</f>
        <v>2023 (d)</v>
      </c>
      <c r="F6" s="185" t="str">
        <f>ANIO5P</f>
        <v>2024 (d)</v>
      </c>
      <c r="G6" s="185" t="str">
        <f>ANIO6P</f>
        <v>2025 (d)</v>
      </c>
    </row>
    <row r="7" spans="1:7" ht="48" customHeight="1" x14ac:dyDescent="0.25">
      <c r="A7" s="173"/>
      <c r="B7" s="88" t="s">
        <v>3291</v>
      </c>
      <c r="C7" s="186"/>
      <c r="D7" s="186"/>
      <c r="E7" s="186"/>
      <c r="F7" s="186"/>
      <c r="G7" s="186"/>
    </row>
    <row r="8" spans="1:7" x14ac:dyDescent="0.25">
      <c r="A8" s="52" t="s">
        <v>421</v>
      </c>
      <c r="B8" s="59">
        <f>SUM(B9:B20)</f>
        <v>494891900.61000001</v>
      </c>
      <c r="C8" s="59">
        <f t="shared" ref="C8:G8" si="0">SUM(C9:C20)</f>
        <v>544381090.62</v>
      </c>
      <c r="D8" s="59">
        <f t="shared" si="0"/>
        <v>598819199.65999997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2413643.54</v>
      </c>
      <c r="C11" s="60">
        <v>2655007.89</v>
      </c>
      <c r="D11" s="60">
        <v>2920508.67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29850514.329999998</v>
      </c>
      <c r="C13" s="60">
        <v>32835565.760000002</v>
      </c>
      <c r="D13" s="60">
        <v>36119122.329999998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462627742.74000001</v>
      </c>
      <c r="C15" s="60">
        <v>508890516.97000003</v>
      </c>
      <c r="D15" s="60">
        <v>559779568.65999997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150372011.69999999</v>
      </c>
      <c r="C22" s="61">
        <f t="shared" ref="C22:G22" si="1">SUM(C23:C27)</f>
        <v>165409212.87</v>
      </c>
      <c r="D22" s="61">
        <f t="shared" si="1"/>
        <v>181950134.15000001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150372011.69999999</v>
      </c>
      <c r="C26" s="60">
        <v>165409212.87</v>
      </c>
      <c r="D26" s="60">
        <v>181950134.15000001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645263912.30999994</v>
      </c>
      <c r="C32" s="61">
        <f t="shared" ref="C32:F32" si="3">C29+C22+C8</f>
        <v>709790303.49000001</v>
      </c>
      <c r="D32" s="61">
        <f t="shared" si="3"/>
        <v>780769333.80999994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494891900.61000001</v>
      </c>
      <c r="Q2" s="18">
        <f>'Formato 7 a)'!C8</f>
        <v>544381090.62</v>
      </c>
      <c r="R2" s="18">
        <f>'Formato 7 a)'!D8</f>
        <v>598819199.65999997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2413643.54</v>
      </c>
      <c r="Q5" s="18">
        <f>'Formato 7 a)'!C11</f>
        <v>2655007.89</v>
      </c>
      <c r="R5" s="18">
        <f>'Formato 7 a)'!D11</f>
        <v>2920508.67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29850514.329999998</v>
      </c>
      <c r="Q7" s="18">
        <f>'Formato 7 a)'!C13</f>
        <v>32835565.760000002</v>
      </c>
      <c r="R7" s="18">
        <f>'Formato 7 a)'!D13</f>
        <v>36119122.329999998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462627742.74000001</v>
      </c>
      <c r="Q9" s="18">
        <f>'Formato 7 a)'!C15</f>
        <v>508890516.97000003</v>
      </c>
      <c r="R9" s="18">
        <f>'Formato 7 a)'!D15</f>
        <v>559779568.65999997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150372011.69999999</v>
      </c>
      <c r="Q15" s="18">
        <f>'Formato 7 a)'!C22</f>
        <v>165409212.87</v>
      </c>
      <c r="R15" s="18">
        <f>'Formato 7 a)'!D22</f>
        <v>181950134.15000001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150372011.69999999</v>
      </c>
      <c r="Q19" s="18">
        <f>'Formato 7 a)'!C26</f>
        <v>165409212.87</v>
      </c>
      <c r="R19" s="18">
        <f>'Formato 7 a)'!D26</f>
        <v>181950134.15000001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645263912.30999994</v>
      </c>
      <c r="Q23" s="18">
        <f>'Formato 7 a)'!C32</f>
        <v>709790303.49000001</v>
      </c>
      <c r="R23" s="18">
        <f>'Formato 7 a)'!D32</f>
        <v>780769333.80999994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90" zoomScaleNormal="90" zoomScalePageLayoutView="90" workbookViewId="0">
      <selection activeCell="G29" sqref="G29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5" t="s">
        <v>451</v>
      </c>
      <c r="B1" s="175"/>
      <c r="C1" s="175"/>
      <c r="D1" s="175"/>
      <c r="E1" s="175"/>
      <c r="F1" s="175"/>
      <c r="G1" s="175"/>
    </row>
    <row r="2" spans="1:7" customFormat="1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customFormat="1" x14ac:dyDescent="0.25">
      <c r="A3" s="160" t="s">
        <v>452</v>
      </c>
      <c r="B3" s="161"/>
      <c r="C3" s="161"/>
      <c r="D3" s="161"/>
      <c r="E3" s="161"/>
      <c r="F3" s="161"/>
      <c r="G3" s="162"/>
    </row>
    <row r="4" spans="1:7" customFormat="1" x14ac:dyDescent="0.25">
      <c r="A4" s="160" t="s">
        <v>118</v>
      </c>
      <c r="B4" s="161"/>
      <c r="C4" s="161"/>
      <c r="D4" s="161"/>
      <c r="E4" s="161"/>
      <c r="F4" s="161"/>
      <c r="G4" s="162"/>
    </row>
    <row r="5" spans="1:7" customFormat="1" x14ac:dyDescent="0.25">
      <c r="A5" s="160" t="s">
        <v>415</v>
      </c>
      <c r="B5" s="161"/>
      <c r="C5" s="161"/>
      <c r="D5" s="161"/>
      <c r="E5" s="161"/>
      <c r="F5" s="161"/>
      <c r="G5" s="162"/>
    </row>
    <row r="6" spans="1:7" customFormat="1" x14ac:dyDescent="0.25">
      <c r="A6" s="187" t="s">
        <v>3142</v>
      </c>
      <c r="B6" s="51">
        <f>ANIO1P</f>
        <v>2020</v>
      </c>
      <c r="C6" s="185" t="str">
        <f>ANIO2P</f>
        <v>2021 (d)</v>
      </c>
      <c r="D6" s="185" t="str">
        <f>ANIO3P</f>
        <v>2022 (d)</v>
      </c>
      <c r="E6" s="185" t="str">
        <f>ANIO4P</f>
        <v>2023 (d)</v>
      </c>
      <c r="F6" s="185" t="str">
        <f>ANIO5P</f>
        <v>2024 (d)</v>
      </c>
      <c r="G6" s="185" t="str">
        <f>ANIO6P</f>
        <v>2025 (d)</v>
      </c>
    </row>
    <row r="7" spans="1:7" customFormat="1" ht="48" customHeight="1" x14ac:dyDescent="0.25">
      <c r="A7" s="188"/>
      <c r="B7" s="88" t="s">
        <v>3291</v>
      </c>
      <c r="C7" s="186"/>
      <c r="D7" s="186"/>
      <c r="E7" s="186"/>
      <c r="F7" s="186"/>
      <c r="G7" s="186"/>
    </row>
    <row r="8" spans="1:7" x14ac:dyDescent="0.25">
      <c r="A8" s="52" t="s">
        <v>453</v>
      </c>
      <c r="B8" s="59">
        <f>SUM(B9:B17)</f>
        <v>751336152.00999999</v>
      </c>
      <c r="C8" s="59">
        <f t="shared" ref="C8:G8" si="0">SUM(C9:C17)</f>
        <v>782052041.08229995</v>
      </c>
      <c r="D8" s="59">
        <f t="shared" si="0"/>
        <v>814098197.052369</v>
      </c>
      <c r="E8" s="59">
        <f t="shared" si="0"/>
        <v>847534967.43842018</v>
      </c>
      <c r="F8" s="59">
        <f t="shared" si="0"/>
        <v>882425532.15977693</v>
      </c>
      <c r="G8" s="59">
        <f t="shared" si="0"/>
        <v>918836039.60768437</v>
      </c>
    </row>
    <row r="9" spans="1:7" x14ac:dyDescent="0.25">
      <c r="A9" s="53" t="s">
        <v>454</v>
      </c>
      <c r="B9" s="60">
        <v>118296814.69</v>
      </c>
      <c r="C9" s="60">
        <f>B9*1.03</f>
        <v>121845719.13070001</v>
      </c>
      <c r="D9" s="60">
        <f>C9*1.03</f>
        <v>125501090.70462102</v>
      </c>
      <c r="E9" s="60">
        <f>D9*1.03</f>
        <v>129266123.42575966</v>
      </c>
      <c r="F9" s="60">
        <f>E9*1.03</f>
        <v>133144107.12853245</v>
      </c>
      <c r="G9" s="60">
        <f>F9*1.03</f>
        <v>137138430.34238842</v>
      </c>
    </row>
    <row r="10" spans="1:7" x14ac:dyDescent="0.25">
      <c r="A10" s="53" t="s">
        <v>455</v>
      </c>
      <c r="B10" s="60">
        <v>83783120.519999996</v>
      </c>
      <c r="C10" s="60">
        <f t="shared" ref="C10:G12" si="1">B10*1.03</f>
        <v>86296614.135600001</v>
      </c>
      <c r="D10" s="60">
        <f t="shared" si="1"/>
        <v>88885512.559668005</v>
      </c>
      <c r="E10" s="60">
        <f t="shared" si="1"/>
        <v>91552077.936458051</v>
      </c>
      <c r="F10" s="60">
        <f t="shared" si="1"/>
        <v>94298640.274551794</v>
      </c>
      <c r="G10" s="60">
        <f t="shared" si="1"/>
        <v>97127599.482788354</v>
      </c>
    </row>
    <row r="11" spans="1:7" x14ac:dyDescent="0.25">
      <c r="A11" s="53" t="s">
        <v>456</v>
      </c>
      <c r="B11" s="60">
        <v>139719573.09999999</v>
      </c>
      <c r="C11" s="60">
        <f t="shared" si="1"/>
        <v>143911160.29299998</v>
      </c>
      <c r="D11" s="60">
        <f t="shared" si="1"/>
        <v>148228495.10178998</v>
      </c>
      <c r="E11" s="60">
        <f t="shared" si="1"/>
        <v>152675349.95484367</v>
      </c>
      <c r="F11" s="60">
        <f t="shared" si="1"/>
        <v>157255610.45348898</v>
      </c>
      <c r="G11" s="60">
        <f t="shared" si="1"/>
        <v>161973278.76709366</v>
      </c>
    </row>
    <row r="12" spans="1:7" x14ac:dyDescent="0.25">
      <c r="A12" s="53" t="s">
        <v>457</v>
      </c>
      <c r="B12" s="60">
        <v>746418.1</v>
      </c>
      <c r="C12" s="60">
        <f t="shared" si="1"/>
        <v>768810.64300000004</v>
      </c>
      <c r="D12" s="60">
        <f t="shared" si="1"/>
        <v>791874.96229000005</v>
      </c>
      <c r="E12" s="60">
        <f t="shared" si="1"/>
        <v>815631.21115870005</v>
      </c>
      <c r="F12" s="60">
        <f t="shared" si="1"/>
        <v>840100.14749346103</v>
      </c>
      <c r="G12" s="60">
        <f t="shared" si="1"/>
        <v>865303.15191826492</v>
      </c>
    </row>
    <row r="13" spans="1:7" x14ac:dyDescent="0.25">
      <c r="A13" s="53" t="s">
        <v>458</v>
      </c>
      <c r="B13" s="60">
        <v>25971180.350000001</v>
      </c>
      <c r="C13" s="60">
        <f>B13*1.05</f>
        <v>27269739.367500003</v>
      </c>
      <c r="D13" s="60">
        <f>C13*1.05</f>
        <v>28633226.335875005</v>
      </c>
      <c r="E13" s="60">
        <f>D13*1.05</f>
        <v>30064887.652668756</v>
      </c>
      <c r="F13" s="60">
        <f>E13*1.05</f>
        <v>31568132.035302196</v>
      </c>
      <c r="G13" s="60">
        <f>F13*1.05</f>
        <v>33146538.637067307</v>
      </c>
    </row>
    <row r="14" spans="1:7" x14ac:dyDescent="0.25">
      <c r="A14" s="53" t="s">
        <v>459</v>
      </c>
      <c r="B14" s="60">
        <v>329956396.81</v>
      </c>
      <c r="C14" s="60">
        <f t="shared" ref="C14:G15" si="2">B14*1.05</f>
        <v>346454216.6505</v>
      </c>
      <c r="D14" s="60">
        <f t="shared" si="2"/>
        <v>363776927.48302501</v>
      </c>
      <c r="E14" s="60">
        <f t="shared" si="2"/>
        <v>381965773.8571763</v>
      </c>
      <c r="F14" s="60">
        <f t="shared" si="2"/>
        <v>401064062.55003512</v>
      </c>
      <c r="G14" s="60">
        <f t="shared" si="2"/>
        <v>421117265.6775369</v>
      </c>
    </row>
    <row r="15" spans="1:7" x14ac:dyDescent="0.25">
      <c r="A15" s="53" t="s">
        <v>460</v>
      </c>
      <c r="B15" s="60">
        <v>52862648.439999998</v>
      </c>
      <c r="C15" s="60">
        <f t="shared" si="2"/>
        <v>55505780.862000003</v>
      </c>
      <c r="D15" s="60">
        <f t="shared" si="2"/>
        <v>58281069.905100003</v>
      </c>
      <c r="E15" s="60">
        <f t="shared" si="2"/>
        <v>61195123.400355004</v>
      </c>
      <c r="F15" s="60">
        <f t="shared" si="2"/>
        <v>64254879.57037276</v>
      </c>
      <c r="G15" s="60">
        <f t="shared" si="2"/>
        <v>67467623.548891395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69231529.24000001</v>
      </c>
      <c r="C19" s="61">
        <f t="shared" ref="C19:G19" si="3">SUM(C20:C28)</f>
        <v>0</v>
      </c>
      <c r="D19" s="61">
        <f t="shared" si="3"/>
        <v>0</v>
      </c>
      <c r="E19" s="61">
        <f t="shared" si="3"/>
        <v>0</v>
      </c>
      <c r="F19" s="61">
        <f t="shared" si="3"/>
        <v>0</v>
      </c>
      <c r="G19" s="61">
        <f t="shared" si="3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4000000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4000000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61231529.240000002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820567681.25</v>
      </c>
      <c r="C30" s="61">
        <f t="shared" ref="C30:G30" si="4">C8+C19</f>
        <v>782052041.08229995</v>
      </c>
      <c r="D30" s="61">
        <f t="shared" si="4"/>
        <v>814098197.052369</v>
      </c>
      <c r="E30" s="61">
        <f t="shared" si="4"/>
        <v>847534967.43842018</v>
      </c>
      <c r="F30" s="61">
        <f t="shared" si="4"/>
        <v>882425532.15977693</v>
      </c>
      <c r="G30" s="61">
        <f t="shared" si="4"/>
        <v>918836039.60768437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751336152.00999999</v>
      </c>
      <c r="Q2" s="18">
        <f>'Formato 7 b)'!C8</f>
        <v>782052041.08229995</v>
      </c>
      <c r="R2" s="18">
        <f>'Formato 7 b)'!D8</f>
        <v>814098197.052369</v>
      </c>
      <c r="S2" s="18">
        <f>'Formato 7 b)'!E8</f>
        <v>847534967.43842018</v>
      </c>
      <c r="T2" s="18">
        <f>'Formato 7 b)'!F8</f>
        <v>882425532.15977693</v>
      </c>
      <c r="U2" s="18">
        <f>'Formato 7 b)'!G8</f>
        <v>918836039.60768437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118296814.69</v>
      </c>
      <c r="Q3" s="18">
        <f>'Formato 7 b)'!C9</f>
        <v>121845719.13070001</v>
      </c>
      <c r="R3" s="18">
        <f>'Formato 7 b)'!D9</f>
        <v>125501090.70462102</v>
      </c>
      <c r="S3" s="18">
        <f>'Formato 7 b)'!E9</f>
        <v>129266123.42575966</v>
      </c>
      <c r="T3" s="18">
        <f>'Formato 7 b)'!F9</f>
        <v>133144107.12853245</v>
      </c>
      <c r="U3" s="18">
        <f>'Formato 7 b)'!G9</f>
        <v>137138430.34238842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83783120.519999996</v>
      </c>
      <c r="Q4" s="18">
        <f>'Formato 7 b)'!C10</f>
        <v>86296614.135600001</v>
      </c>
      <c r="R4" s="18">
        <f>'Formato 7 b)'!D10</f>
        <v>88885512.559668005</v>
      </c>
      <c r="S4" s="18">
        <f>'Formato 7 b)'!E10</f>
        <v>91552077.936458051</v>
      </c>
      <c r="T4" s="18">
        <f>'Formato 7 b)'!F10</f>
        <v>94298640.274551794</v>
      </c>
      <c r="U4" s="18">
        <f>'Formato 7 b)'!G10</f>
        <v>97127599.482788354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139719573.09999999</v>
      </c>
      <c r="Q5" s="18">
        <f>'Formato 7 b)'!C11</f>
        <v>143911160.29299998</v>
      </c>
      <c r="R5" s="18">
        <f>'Formato 7 b)'!D11</f>
        <v>148228495.10178998</v>
      </c>
      <c r="S5" s="18">
        <f>'Formato 7 b)'!E11</f>
        <v>152675349.95484367</v>
      </c>
      <c r="T5" s="18">
        <f>'Formato 7 b)'!F11</f>
        <v>157255610.45348898</v>
      </c>
      <c r="U5" s="18">
        <f>'Formato 7 b)'!G11</f>
        <v>161973278.76709366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746418.1</v>
      </c>
      <c r="Q6" s="18">
        <f>'Formato 7 b)'!C12</f>
        <v>768810.64300000004</v>
      </c>
      <c r="R6" s="18">
        <f>'Formato 7 b)'!D12</f>
        <v>791874.96229000005</v>
      </c>
      <c r="S6" s="18">
        <f>'Formato 7 b)'!E12</f>
        <v>815631.21115870005</v>
      </c>
      <c r="T6" s="18">
        <f>'Formato 7 b)'!F12</f>
        <v>840100.14749346103</v>
      </c>
      <c r="U6" s="18">
        <f>'Formato 7 b)'!G12</f>
        <v>865303.15191826492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25971180.350000001</v>
      </c>
      <c r="Q7" s="18">
        <f>'Formato 7 b)'!C13</f>
        <v>27269739.367500003</v>
      </c>
      <c r="R7" s="18">
        <f>'Formato 7 b)'!D13</f>
        <v>28633226.335875005</v>
      </c>
      <c r="S7" s="18">
        <f>'Formato 7 b)'!E13</f>
        <v>30064887.652668756</v>
      </c>
      <c r="T7" s="18">
        <f>'Formato 7 b)'!F13</f>
        <v>31568132.035302196</v>
      </c>
      <c r="U7" s="18">
        <f>'Formato 7 b)'!G13</f>
        <v>33146538.637067307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329956396.81</v>
      </c>
      <c r="Q8" s="18">
        <f>'Formato 7 b)'!C14</f>
        <v>346454216.6505</v>
      </c>
      <c r="R8" s="18">
        <f>'Formato 7 b)'!D14</f>
        <v>363776927.48302501</v>
      </c>
      <c r="S8" s="18">
        <f>'Formato 7 b)'!E14</f>
        <v>381965773.8571763</v>
      </c>
      <c r="T8" s="18">
        <f>'Formato 7 b)'!F14</f>
        <v>401064062.55003512</v>
      </c>
      <c r="U8" s="18">
        <f>'Formato 7 b)'!G14</f>
        <v>421117265.6775369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52862648.439999998</v>
      </c>
      <c r="Q9" s="18">
        <f>'Formato 7 b)'!C15</f>
        <v>55505780.862000003</v>
      </c>
      <c r="R9" s="18">
        <f>'Formato 7 b)'!D15</f>
        <v>58281069.905100003</v>
      </c>
      <c r="S9" s="18">
        <f>'Formato 7 b)'!E15</f>
        <v>61195123.400355004</v>
      </c>
      <c r="T9" s="18">
        <f>'Formato 7 b)'!F15</f>
        <v>64254879.57037276</v>
      </c>
      <c r="U9" s="18">
        <f>'Formato 7 b)'!G15</f>
        <v>67467623.548891395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69231529.24000001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4000000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4000000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61231529.240000002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820567681.25</v>
      </c>
      <c r="Q22" s="18">
        <f>'Formato 7 b)'!C30</f>
        <v>782052041.08229995</v>
      </c>
      <c r="R22" s="18">
        <f>'Formato 7 b)'!D30</f>
        <v>814098197.052369</v>
      </c>
      <c r="S22" s="18">
        <f>'Formato 7 b)'!E30</f>
        <v>847534967.43842018</v>
      </c>
      <c r="T22" s="18">
        <f>'Formato 7 b)'!F30</f>
        <v>882425532.15977693</v>
      </c>
      <c r="U22" s="18">
        <f>'Formato 7 b)'!G30</f>
        <v>918836039.60768437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zoomScale="90" zoomScaleNormal="90" zoomScalePageLayoutView="90" workbookViewId="0">
      <selection activeCell="G31" sqref="G31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466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467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2" t="s">
        <v>3288</v>
      </c>
      <c r="B5" s="190" t="str">
        <f>ANIO5R</f>
        <v>2014 ¹ (c)</v>
      </c>
      <c r="C5" s="190" t="str">
        <f>ANIO4R</f>
        <v>2015 ¹ (c)</v>
      </c>
      <c r="D5" s="190" t="str">
        <f>ANIO3R</f>
        <v>2016 ¹ (c)</v>
      </c>
      <c r="E5" s="190" t="str">
        <f>ANIO2R</f>
        <v>2017 ¹ (c)</v>
      </c>
      <c r="F5" s="190" t="str">
        <f>ANIO1R</f>
        <v>2018 ¹ (c)</v>
      </c>
      <c r="G5" s="51">
        <f>ANIO_INFORME</f>
        <v>2019</v>
      </c>
    </row>
    <row r="6" spans="1:7" ht="32.1" customHeight="1" x14ac:dyDescent="0.25">
      <c r="A6" s="193"/>
      <c r="B6" s="191"/>
      <c r="C6" s="191"/>
      <c r="D6" s="191"/>
      <c r="E6" s="191"/>
      <c r="F6" s="191"/>
      <c r="G6" s="88" t="s">
        <v>3294</v>
      </c>
    </row>
    <row r="7" spans="1:7" x14ac:dyDescent="0.25">
      <c r="A7" s="52" t="s">
        <v>468</v>
      </c>
      <c r="B7" s="59">
        <f>SUM(B8:B19)</f>
        <v>283207289.01999998</v>
      </c>
      <c r="C7" s="59">
        <f t="shared" ref="C7:G7" si="0">SUM(C8:C19)</f>
        <v>331977887.26999998</v>
      </c>
      <c r="D7" s="59">
        <f t="shared" si="0"/>
        <v>373817893.10000002</v>
      </c>
      <c r="E7" s="59">
        <f t="shared" si="0"/>
        <v>410576238.33999997</v>
      </c>
      <c r="F7" s="59">
        <f t="shared" si="0"/>
        <v>437042126.98281258</v>
      </c>
      <c r="G7" s="59">
        <f t="shared" si="0"/>
        <v>449901727.83315235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1907916.07</v>
      </c>
      <c r="F10" s="60">
        <v>0</v>
      </c>
      <c r="G10" s="60">
        <v>2194221.4074999997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123373.67</v>
      </c>
      <c r="C12" s="60">
        <v>4355.17</v>
      </c>
      <c r="D12" s="60">
        <v>117325</v>
      </c>
      <c r="E12" s="60">
        <v>1338896.3400000001</v>
      </c>
      <c r="F12" s="60">
        <v>0</v>
      </c>
      <c r="G12" s="60">
        <v>27136831.210000001</v>
      </c>
    </row>
    <row r="13" spans="1:7" x14ac:dyDescent="0.25">
      <c r="A13" s="56" t="s">
        <v>474</v>
      </c>
      <c r="B13" s="60">
        <v>87095031.349999994</v>
      </c>
      <c r="C13" s="60">
        <v>115679765.8</v>
      </c>
      <c r="D13" s="60">
        <v>157284045.69999999</v>
      </c>
      <c r="E13" s="60">
        <v>48411016.899999999</v>
      </c>
      <c r="F13" s="60">
        <v>24243910</v>
      </c>
      <c r="G13" s="60">
        <v>0</v>
      </c>
    </row>
    <row r="14" spans="1:7" x14ac:dyDescent="0.25">
      <c r="A14" s="53" t="s">
        <v>475</v>
      </c>
      <c r="B14" s="60">
        <v>195988884</v>
      </c>
      <c r="C14" s="60">
        <v>216293766.30000001</v>
      </c>
      <c r="D14" s="60">
        <v>216416522.40000001</v>
      </c>
      <c r="E14" s="60">
        <v>358918409.02999997</v>
      </c>
      <c r="F14" s="60">
        <v>412798216.98281258</v>
      </c>
      <c r="G14" s="60">
        <v>420570675.21565235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77401491.849999994</v>
      </c>
      <c r="C21" s="61">
        <f t="shared" ref="C21:G21" si="1">SUM(C22:C26)</f>
        <v>62522751.490000002</v>
      </c>
      <c r="D21" s="61">
        <f t="shared" si="1"/>
        <v>83357438.459999993</v>
      </c>
      <c r="E21" s="61">
        <f t="shared" si="1"/>
        <v>85688641.209999993</v>
      </c>
      <c r="F21" s="61">
        <f t="shared" si="1"/>
        <v>106851038.95999999</v>
      </c>
      <c r="G21" s="61">
        <f t="shared" si="1"/>
        <v>136701828.80000001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136701828.80000001</v>
      </c>
    </row>
    <row r="26" spans="1:7" x14ac:dyDescent="0.25">
      <c r="A26" s="53" t="s">
        <v>484</v>
      </c>
      <c r="B26" s="60">
        <v>77401491.849999994</v>
      </c>
      <c r="C26" s="60">
        <v>62522751.490000002</v>
      </c>
      <c r="D26" s="60">
        <v>83357438.459999993</v>
      </c>
      <c r="E26" s="60">
        <v>85688641.209999993</v>
      </c>
      <c r="F26" s="60">
        <v>106851038.95999999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360608780.87</v>
      </c>
      <c r="C31" s="61">
        <f t="shared" ref="C31:G31" si="3">C7+C21+C28</f>
        <v>394500638.75999999</v>
      </c>
      <c r="D31" s="61">
        <f t="shared" si="3"/>
        <v>457175331.56</v>
      </c>
      <c r="E31" s="61">
        <f t="shared" si="3"/>
        <v>496264879.54999995</v>
      </c>
      <c r="F31" s="61">
        <f t="shared" si="3"/>
        <v>543893165.94281256</v>
      </c>
      <c r="G31" s="61">
        <f t="shared" si="3"/>
        <v>586603556.63315237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9" t="s">
        <v>3292</v>
      </c>
      <c r="B39" s="189"/>
      <c r="C39" s="189"/>
      <c r="D39" s="189"/>
      <c r="E39" s="189"/>
      <c r="F39" s="189"/>
      <c r="G39" s="189"/>
    </row>
    <row r="40" spans="1:7" ht="15" customHeight="1" x14ac:dyDescent="0.25">
      <c r="A40" s="189" t="s">
        <v>3293</v>
      </c>
      <c r="B40" s="189"/>
      <c r="C40" s="189"/>
      <c r="D40" s="189"/>
      <c r="E40" s="189"/>
      <c r="F40" s="189"/>
      <c r="G40" s="189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283207289.01999998</v>
      </c>
      <c r="Q2" s="18">
        <f>'Formato 7 c)'!C7</f>
        <v>331977887.26999998</v>
      </c>
      <c r="R2" s="18">
        <f>'Formato 7 c)'!D7</f>
        <v>373817893.10000002</v>
      </c>
      <c r="S2" s="18">
        <f>'Formato 7 c)'!E7</f>
        <v>410576238.33999997</v>
      </c>
      <c r="T2" s="18">
        <f>'Formato 7 c)'!F7</f>
        <v>437042126.98281258</v>
      </c>
      <c r="U2" s="18">
        <f>'Formato 7 c)'!G7</f>
        <v>449901727.83315235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1907916.07</v>
      </c>
      <c r="T5" s="18">
        <f>'Formato 7 c)'!F10</f>
        <v>0</v>
      </c>
      <c r="U5" s="18">
        <f>'Formato 7 c)'!G10</f>
        <v>2194221.4074999997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123373.67</v>
      </c>
      <c r="Q7" s="18">
        <f>'Formato 7 c)'!C12</f>
        <v>4355.17</v>
      </c>
      <c r="R7" s="18">
        <f>'Formato 7 c)'!D12</f>
        <v>117325</v>
      </c>
      <c r="S7" s="18">
        <f>'Formato 7 c)'!E12</f>
        <v>1338896.3400000001</v>
      </c>
      <c r="T7" s="18">
        <f>'Formato 7 c)'!F12</f>
        <v>0</v>
      </c>
      <c r="U7" s="18">
        <f>'Formato 7 c)'!G12</f>
        <v>27136831.210000001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87095031.349999994</v>
      </c>
      <c r="Q8" s="18">
        <f>'Formato 7 c)'!C13</f>
        <v>115679765.8</v>
      </c>
      <c r="R8" s="18">
        <f>'Formato 7 c)'!D13</f>
        <v>157284045.69999999</v>
      </c>
      <c r="S8" s="18">
        <f>'Formato 7 c)'!E13</f>
        <v>48411016.899999999</v>
      </c>
      <c r="T8" s="18">
        <f>'Formato 7 c)'!F13</f>
        <v>24243910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195988884</v>
      </c>
      <c r="Q9" s="18">
        <f>'Formato 7 c)'!C14</f>
        <v>216293766.30000001</v>
      </c>
      <c r="R9" s="18">
        <f>'Formato 7 c)'!D14</f>
        <v>216416522.40000001</v>
      </c>
      <c r="S9" s="18">
        <f>'Formato 7 c)'!E14</f>
        <v>358918409.02999997</v>
      </c>
      <c r="T9" s="18">
        <f>'Formato 7 c)'!F14</f>
        <v>412798216.98281258</v>
      </c>
      <c r="U9" s="18">
        <f>'Formato 7 c)'!G14</f>
        <v>420570675.21565235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77401491.849999994</v>
      </c>
      <c r="Q15" s="18">
        <f>'Formato 7 c)'!C21</f>
        <v>62522751.490000002</v>
      </c>
      <c r="R15" s="18">
        <f>'Formato 7 c)'!D21</f>
        <v>83357438.459999993</v>
      </c>
      <c r="S15" s="18">
        <f>'Formato 7 c)'!E21</f>
        <v>85688641.209999993</v>
      </c>
      <c r="T15" s="18">
        <f>'Formato 7 c)'!F21</f>
        <v>106851038.95999999</v>
      </c>
      <c r="U15" s="18">
        <f>'Formato 7 c)'!G21</f>
        <v>136701828.80000001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136701828.80000001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77401491.849999994</v>
      </c>
      <c r="Q20" s="18">
        <f>'Formato 7 c)'!C26</f>
        <v>62522751.490000002</v>
      </c>
      <c r="R20" s="18">
        <f>'Formato 7 c)'!D26</f>
        <v>83357438.459999993</v>
      </c>
      <c r="S20" s="18">
        <f>'Formato 7 c)'!E26</f>
        <v>85688641.209999993</v>
      </c>
      <c r="T20" s="18">
        <f>'Formato 7 c)'!F26</f>
        <v>106851038.95999999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360608780.87</v>
      </c>
      <c r="Q23" s="18">
        <f>'Formato 7 c)'!C31</f>
        <v>394500638.75999999</v>
      </c>
      <c r="R23" s="18">
        <f>'Formato 7 c)'!D31</f>
        <v>457175331.56</v>
      </c>
      <c r="S23" s="18">
        <f>'Formato 7 c)'!E31</f>
        <v>496264879.54999995</v>
      </c>
      <c r="T23" s="18">
        <f>'Formato 7 c)'!F31</f>
        <v>543893165.94281256</v>
      </c>
      <c r="U23" s="18">
        <f>'Formato 7 c)'!G31</f>
        <v>586603556.63315237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90" zoomScaleNormal="90" zoomScalePageLayoutView="90" workbookViewId="0">
      <selection activeCell="E20" sqref="E2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5" t="s">
        <v>490</v>
      </c>
      <c r="B1" s="175"/>
      <c r="C1" s="175"/>
      <c r="D1" s="175"/>
      <c r="E1" s="175"/>
      <c r="F1" s="175"/>
      <c r="G1" s="175"/>
    </row>
    <row r="2" spans="1:7" x14ac:dyDescent="0.25">
      <c r="A2" s="157" t="str">
        <f>ENTIDAD</f>
        <v>Municipio de Irapuato, Gobierno del Estado de Guanajuato</v>
      </c>
      <c r="B2" s="158"/>
      <c r="C2" s="158"/>
      <c r="D2" s="158"/>
      <c r="E2" s="158"/>
      <c r="F2" s="158"/>
      <c r="G2" s="159"/>
    </row>
    <row r="3" spans="1:7" x14ac:dyDescent="0.25">
      <c r="A3" s="160" t="s">
        <v>491</v>
      </c>
      <c r="B3" s="161"/>
      <c r="C3" s="161"/>
      <c r="D3" s="161"/>
      <c r="E3" s="161"/>
      <c r="F3" s="161"/>
      <c r="G3" s="162"/>
    </row>
    <row r="4" spans="1:7" x14ac:dyDescent="0.25">
      <c r="A4" s="166" t="s">
        <v>118</v>
      </c>
      <c r="B4" s="167"/>
      <c r="C4" s="167"/>
      <c r="D4" s="167"/>
      <c r="E4" s="167"/>
      <c r="F4" s="167"/>
      <c r="G4" s="168"/>
    </row>
    <row r="5" spans="1:7" x14ac:dyDescent="0.25">
      <c r="A5" s="194" t="s">
        <v>3142</v>
      </c>
      <c r="B5" s="190" t="str">
        <f>ANIO5R</f>
        <v>2014 ¹ (c)</v>
      </c>
      <c r="C5" s="190" t="str">
        <f>ANIO4R</f>
        <v>2015 ¹ (c)</v>
      </c>
      <c r="D5" s="190" t="str">
        <f>ANIO3R</f>
        <v>2016 ¹ (c)</v>
      </c>
      <c r="E5" s="190" t="str">
        <f>ANIO2R</f>
        <v>2017 ¹ (c)</v>
      </c>
      <c r="F5" s="190" t="str">
        <f>ANIO1R</f>
        <v>2018 ¹ (c)</v>
      </c>
      <c r="G5" s="51">
        <f>ANIO_INFORME</f>
        <v>2019</v>
      </c>
    </row>
    <row r="6" spans="1:7" ht="32.1" customHeight="1" x14ac:dyDescent="0.25">
      <c r="A6" s="195"/>
      <c r="B6" s="191"/>
      <c r="C6" s="191"/>
      <c r="D6" s="191"/>
      <c r="E6" s="191"/>
      <c r="F6" s="191"/>
      <c r="G6" s="88" t="s">
        <v>3295</v>
      </c>
    </row>
    <row r="7" spans="1:7" x14ac:dyDescent="0.25">
      <c r="A7" s="52" t="s">
        <v>492</v>
      </c>
      <c r="B7" s="59">
        <f>SUM(B8:B16)</f>
        <v>256414382.78964004</v>
      </c>
      <c r="C7" s="59">
        <f t="shared" ref="C7:G7" si="0">SUM(C8:C16)</f>
        <v>240160814.0686</v>
      </c>
      <c r="D7" s="59">
        <f t="shared" si="0"/>
        <v>249991140.69999999</v>
      </c>
      <c r="E7" s="59">
        <f t="shared" si="0"/>
        <v>281480929.83240008</v>
      </c>
      <c r="F7" s="59">
        <f t="shared" si="0"/>
        <v>326159206.70920002</v>
      </c>
      <c r="G7" s="59">
        <f t="shared" si="0"/>
        <v>461254022.40500009</v>
      </c>
    </row>
    <row r="8" spans="1:7" x14ac:dyDescent="0.25">
      <c r="A8" s="53" t="s">
        <v>454</v>
      </c>
      <c r="B8" s="60">
        <v>96682727.26000002</v>
      </c>
      <c r="C8" s="60">
        <v>104681954.33</v>
      </c>
      <c r="D8" s="60">
        <v>105325635.65000001</v>
      </c>
      <c r="E8" s="60">
        <v>105209381.61000007</v>
      </c>
      <c r="F8" s="60">
        <v>109213604.25999998</v>
      </c>
      <c r="G8" s="60">
        <v>111808624.745</v>
      </c>
    </row>
    <row r="9" spans="1:7" x14ac:dyDescent="0.25">
      <c r="A9" s="53" t="s">
        <v>455</v>
      </c>
      <c r="B9" s="60">
        <v>24075558.54916</v>
      </c>
      <c r="C9" s="60">
        <v>21930754.024999999</v>
      </c>
      <c r="D9" s="60">
        <v>27487458.210000001</v>
      </c>
      <c r="E9" s="60">
        <v>40457820.490000002</v>
      </c>
      <c r="F9" s="60">
        <v>52230376.329200022</v>
      </c>
      <c r="G9" s="60">
        <v>43535262.189999998</v>
      </c>
    </row>
    <row r="10" spans="1:7" x14ac:dyDescent="0.25">
      <c r="A10" s="53" t="s">
        <v>456</v>
      </c>
      <c r="B10" s="60">
        <v>110376221.31248002</v>
      </c>
      <c r="C10" s="60">
        <v>95433730.393600002</v>
      </c>
      <c r="D10" s="60">
        <v>101644850.63</v>
      </c>
      <c r="E10" s="60">
        <v>119622372.21240003</v>
      </c>
      <c r="F10" s="60">
        <v>138567278.08000004</v>
      </c>
      <c r="G10" s="60">
        <v>140658440.15000001</v>
      </c>
    </row>
    <row r="11" spans="1:7" x14ac:dyDescent="0.25">
      <c r="A11" s="53" t="s">
        <v>457</v>
      </c>
      <c r="B11" s="60">
        <v>352772.25</v>
      </c>
      <c r="C11" s="60">
        <v>683412.22</v>
      </c>
      <c r="D11" s="60">
        <v>548456.6</v>
      </c>
      <c r="E11" s="60">
        <v>789898.60999999987</v>
      </c>
      <c r="F11" s="60">
        <v>1082210.2</v>
      </c>
      <c r="G11" s="60">
        <v>736288.91</v>
      </c>
    </row>
    <row r="12" spans="1:7" x14ac:dyDescent="0.25">
      <c r="A12" s="53" t="s">
        <v>458</v>
      </c>
      <c r="B12" s="60">
        <v>12445721.347999997</v>
      </c>
      <c r="C12" s="60">
        <v>14786128.650000006</v>
      </c>
      <c r="D12" s="60">
        <v>14984739.609999999</v>
      </c>
      <c r="E12" s="60">
        <v>15384935.019999998</v>
      </c>
      <c r="F12" s="60">
        <v>23203027.810000002</v>
      </c>
      <c r="G12" s="60">
        <v>10990609.57</v>
      </c>
    </row>
    <row r="13" spans="1:7" x14ac:dyDescent="0.25">
      <c r="A13" s="53" t="s">
        <v>459</v>
      </c>
      <c r="B13" s="60"/>
      <c r="C13" s="60">
        <v>0</v>
      </c>
      <c r="D13" s="60">
        <v>0</v>
      </c>
      <c r="E13" s="60"/>
      <c r="F13" s="60"/>
      <c r="G13" s="60">
        <v>79998201.540000007</v>
      </c>
    </row>
    <row r="14" spans="1:7" x14ac:dyDescent="0.25">
      <c r="A14" s="53" t="s">
        <v>460</v>
      </c>
      <c r="B14" s="60"/>
      <c r="C14" s="60"/>
      <c r="D14" s="60">
        <v>0</v>
      </c>
      <c r="E14" s="60"/>
      <c r="F14" s="60"/>
      <c r="G14" s="60">
        <v>43556000</v>
      </c>
    </row>
    <row r="15" spans="1:7" x14ac:dyDescent="0.25">
      <c r="A15" s="53" t="s">
        <v>461</v>
      </c>
      <c r="B15" s="60">
        <v>7745229.3599999994</v>
      </c>
      <c r="C15" s="60">
        <v>0</v>
      </c>
      <c r="D15" s="60">
        <v>0</v>
      </c>
      <c r="E15" s="60">
        <v>16521.89</v>
      </c>
      <c r="F15" s="60">
        <v>1862710.03</v>
      </c>
      <c r="G15" s="60">
        <v>29970595.300000001</v>
      </c>
    </row>
    <row r="16" spans="1:7" x14ac:dyDescent="0.25">
      <c r="A16" s="53" t="s">
        <v>462</v>
      </c>
      <c r="B16" s="60">
        <v>4736152.71</v>
      </c>
      <c r="C16" s="60">
        <v>2644834.4500000002</v>
      </c>
      <c r="D16" s="60">
        <v>0</v>
      </c>
      <c r="E16" s="60"/>
      <c r="F16" s="60"/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493</v>
      </c>
      <c r="B18" s="61">
        <f>SUM(B19:B27)</f>
        <v>31794293.52</v>
      </c>
      <c r="C18" s="61">
        <f t="shared" ref="C18:G18" si="1">SUM(C19:C27)</f>
        <v>44623231.243999995</v>
      </c>
      <c r="D18" s="61">
        <f t="shared" si="1"/>
        <v>73582559.870000005</v>
      </c>
      <c r="E18" s="61">
        <f t="shared" si="1"/>
        <v>75155721.780000001</v>
      </c>
      <c r="F18" s="61">
        <f t="shared" si="1"/>
        <v>138826523</v>
      </c>
      <c r="G18" s="61">
        <f t="shared" si="1"/>
        <v>115518199.29000001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31794293.52</v>
      </c>
      <c r="C24" s="60">
        <v>44623231.243999995</v>
      </c>
      <c r="D24" s="60">
        <v>73582559.870000005</v>
      </c>
      <c r="E24" s="60">
        <v>75155721.780000001</v>
      </c>
      <c r="F24" s="60">
        <v>138826523</v>
      </c>
      <c r="G24" s="60">
        <v>115518199.29000001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288208676.30964005</v>
      </c>
      <c r="C29" s="60">
        <f t="shared" ref="C29:G29" si="2">C7+C18</f>
        <v>284784045.31260002</v>
      </c>
      <c r="D29" s="60">
        <f t="shared" si="2"/>
        <v>323573700.56999999</v>
      </c>
      <c r="E29" s="60">
        <f t="shared" si="2"/>
        <v>356636651.61240005</v>
      </c>
      <c r="F29" s="60">
        <f t="shared" si="2"/>
        <v>464985729.70920002</v>
      </c>
      <c r="G29" s="60">
        <f t="shared" si="2"/>
        <v>576772221.69500005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9" t="s">
        <v>3292</v>
      </c>
      <c r="B32" s="189"/>
      <c r="C32" s="189"/>
      <c r="D32" s="189"/>
      <c r="E32" s="189"/>
      <c r="F32" s="189"/>
      <c r="G32" s="189"/>
    </row>
    <row r="33" spans="1:7" x14ac:dyDescent="0.25">
      <c r="A33" s="189" t="s">
        <v>3293</v>
      </c>
      <c r="B33" s="189"/>
      <c r="C33" s="189"/>
      <c r="D33" s="189"/>
      <c r="E33" s="189"/>
      <c r="F33" s="189"/>
      <c r="G33" s="189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256414382.78964004</v>
      </c>
      <c r="Q2" s="18">
        <f>'Formato 7 d)'!C7</f>
        <v>240160814.0686</v>
      </c>
      <c r="R2" s="18">
        <f>'Formato 7 d)'!D7</f>
        <v>249991140.69999999</v>
      </c>
      <c r="S2" s="18">
        <f>'Formato 7 d)'!E7</f>
        <v>281480929.83240008</v>
      </c>
      <c r="T2" s="18">
        <f>'Formato 7 d)'!F7</f>
        <v>326159206.70920002</v>
      </c>
      <c r="U2" s="18">
        <f>'Formato 7 d)'!G7</f>
        <v>461254022.40500009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96682727.26000002</v>
      </c>
      <c r="Q3" s="18">
        <f>'Formato 7 d)'!C8</f>
        <v>104681954.33</v>
      </c>
      <c r="R3" s="18">
        <f>'Formato 7 d)'!D8</f>
        <v>105325635.65000001</v>
      </c>
      <c r="S3" s="18">
        <f>'Formato 7 d)'!E8</f>
        <v>105209381.61000007</v>
      </c>
      <c r="T3" s="18">
        <f>'Formato 7 d)'!F8</f>
        <v>109213604.25999998</v>
      </c>
      <c r="U3" s="18">
        <f>'Formato 7 d)'!G8</f>
        <v>111808624.745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24075558.54916</v>
      </c>
      <c r="Q4" s="18">
        <f>'Formato 7 d)'!C9</f>
        <v>21930754.024999999</v>
      </c>
      <c r="R4" s="18">
        <f>'Formato 7 d)'!D9</f>
        <v>27487458.210000001</v>
      </c>
      <c r="S4" s="18">
        <f>'Formato 7 d)'!E9</f>
        <v>40457820.490000002</v>
      </c>
      <c r="T4" s="18">
        <f>'Formato 7 d)'!F9</f>
        <v>52230376.329200022</v>
      </c>
      <c r="U4" s="18">
        <f>'Formato 7 d)'!G9</f>
        <v>43535262.189999998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110376221.31248002</v>
      </c>
      <c r="Q5" s="18">
        <f>'Formato 7 d)'!C10</f>
        <v>95433730.393600002</v>
      </c>
      <c r="R5" s="18">
        <f>'Formato 7 d)'!D10</f>
        <v>101644850.63</v>
      </c>
      <c r="S5" s="18">
        <f>'Formato 7 d)'!E10</f>
        <v>119622372.21240003</v>
      </c>
      <c r="T5" s="18">
        <f>'Formato 7 d)'!F10</f>
        <v>138567278.08000004</v>
      </c>
      <c r="U5" s="18">
        <f>'Formato 7 d)'!G10</f>
        <v>140658440.15000001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352772.25</v>
      </c>
      <c r="Q6" s="18">
        <f>'Formato 7 d)'!C11</f>
        <v>683412.22</v>
      </c>
      <c r="R6" s="18">
        <f>'Formato 7 d)'!D11</f>
        <v>548456.6</v>
      </c>
      <c r="S6" s="18">
        <f>'Formato 7 d)'!E11</f>
        <v>789898.60999999987</v>
      </c>
      <c r="T6" s="18">
        <f>'Formato 7 d)'!F11</f>
        <v>1082210.2</v>
      </c>
      <c r="U6" s="18">
        <f>'Formato 7 d)'!G11</f>
        <v>736288.91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12445721.347999997</v>
      </c>
      <c r="Q7" s="18">
        <f>'Formato 7 d)'!C12</f>
        <v>14786128.650000006</v>
      </c>
      <c r="R7" s="18">
        <f>'Formato 7 d)'!D12</f>
        <v>14984739.609999999</v>
      </c>
      <c r="S7" s="18">
        <f>'Formato 7 d)'!E12</f>
        <v>15384935.019999998</v>
      </c>
      <c r="T7" s="18">
        <f>'Formato 7 d)'!F12</f>
        <v>23203027.810000002</v>
      </c>
      <c r="U7" s="18">
        <f>'Formato 7 d)'!G12</f>
        <v>10990609.57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79998201.540000007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43556000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7745229.3599999994</v>
      </c>
      <c r="Q10" s="18">
        <f>'Formato 7 d)'!C15</f>
        <v>0</v>
      </c>
      <c r="R10" s="18">
        <f>'Formato 7 d)'!D15</f>
        <v>0</v>
      </c>
      <c r="S10" s="18">
        <f>'Formato 7 d)'!E15</f>
        <v>16521.89</v>
      </c>
      <c r="T10" s="18">
        <f>'Formato 7 d)'!F15</f>
        <v>1862710.03</v>
      </c>
      <c r="U10" s="18">
        <f>'Formato 7 d)'!G15</f>
        <v>29970595.300000001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4736152.71</v>
      </c>
      <c r="Q11" s="18">
        <f>'Formato 7 d)'!C16</f>
        <v>2644834.4500000002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31794293.52</v>
      </c>
      <c r="Q12" s="18">
        <f>'Formato 7 d)'!C18</f>
        <v>44623231.243999995</v>
      </c>
      <c r="R12" s="18">
        <f>'Formato 7 d)'!D18</f>
        <v>73582559.870000005</v>
      </c>
      <c r="S12" s="18">
        <f>'Formato 7 d)'!E18</f>
        <v>75155721.780000001</v>
      </c>
      <c r="T12" s="18">
        <f>'Formato 7 d)'!F18</f>
        <v>138826523</v>
      </c>
      <c r="U12" s="18">
        <f>'Formato 7 d)'!G18</f>
        <v>115518199.29000001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31794293.52</v>
      </c>
      <c r="Q18" s="18">
        <f>'Formato 7 d)'!C24</f>
        <v>44623231.243999995</v>
      </c>
      <c r="R18" s="18">
        <f>'Formato 7 d)'!D24</f>
        <v>73582559.870000005</v>
      </c>
      <c r="S18" s="18">
        <f>'Formato 7 d)'!E24</f>
        <v>75155721.780000001</v>
      </c>
      <c r="T18" s="18">
        <f>'Formato 7 d)'!F24</f>
        <v>138826523</v>
      </c>
      <c r="U18" s="18">
        <f>'Formato 7 d)'!G24</f>
        <v>115518199.29000001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288208676.30964005</v>
      </c>
      <c r="Q22" s="18">
        <f>'Formato 7 d)'!C29</f>
        <v>284784045.31260002</v>
      </c>
      <c r="R22" s="18">
        <f>'Formato 7 d)'!D29</f>
        <v>323573700.56999999</v>
      </c>
      <c r="S22" s="18">
        <f>'Formato 7 d)'!E29</f>
        <v>356636651.61240005</v>
      </c>
      <c r="T22" s="18">
        <f>'Formato 7 d)'!F29</f>
        <v>464985729.70920002</v>
      </c>
      <c r="U22" s="18">
        <f>'Formato 7 d)'!G29</f>
        <v>576772221.69500005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x14ac:dyDescent="0.2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zoomScale="90" zoomScaleNormal="90" zoomScalePageLayoutView="90" workbookViewId="0">
      <selection activeCell="A19" sqref="A19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9" t="s">
        <v>495</v>
      </c>
      <c r="B1" s="169"/>
      <c r="C1" s="169"/>
      <c r="D1" s="169"/>
      <c r="E1" s="169"/>
      <c r="F1" s="169"/>
      <c r="G1" s="111"/>
    </row>
    <row r="2" spans="1:7" x14ac:dyDescent="0.25">
      <c r="A2" s="157" t="str">
        <f>ENTE_PUBLICO</f>
        <v>JUNTA DE AGUA POTABLE DRENAJE ALCANTARILLADO Y SANEAMIENTO DEL MUNICIPIO DE IRAPUATO GTO, Gobierno del Estado de Guanajuato</v>
      </c>
      <c r="B2" s="158"/>
      <c r="C2" s="158"/>
      <c r="D2" s="158"/>
      <c r="E2" s="158"/>
      <c r="F2" s="159"/>
    </row>
    <row r="3" spans="1:7" x14ac:dyDescent="0.25">
      <c r="A3" s="166" t="s">
        <v>496</v>
      </c>
      <c r="B3" s="167"/>
      <c r="C3" s="167"/>
      <c r="D3" s="167"/>
      <c r="E3" s="167"/>
      <c r="F3" s="168"/>
    </row>
    <row r="4" spans="1:7" ht="30" x14ac:dyDescent="0.2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x14ac:dyDescent="0.2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x14ac:dyDescent="0.2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x14ac:dyDescent="0.25">
      <c r="A13" s="139" t="s">
        <v>509</v>
      </c>
      <c r="B13" s="60"/>
      <c r="C13" s="60"/>
      <c r="D13" s="60"/>
      <c r="E13" s="60"/>
      <c r="F13" s="60"/>
    </row>
    <row r="14" spans="1:7" x14ac:dyDescent="0.2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x14ac:dyDescent="0.25">
      <c r="A17" s="139" t="s">
        <v>509</v>
      </c>
      <c r="B17" s="60"/>
      <c r="C17" s="60"/>
      <c r="D17" s="60"/>
      <c r="E17" s="60"/>
      <c r="F17" s="60"/>
    </row>
    <row r="18" spans="1:6" x14ac:dyDescent="0.2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x14ac:dyDescent="0.25">
      <c r="A22" s="64" t="s">
        <v>515</v>
      </c>
      <c r="B22" s="146"/>
      <c r="C22" s="146"/>
      <c r="D22" s="146"/>
      <c r="E22" s="146"/>
      <c r="F22" s="146"/>
    </row>
    <row r="23" spans="1:6" x14ac:dyDescent="0.2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x14ac:dyDescent="0.25">
      <c r="A25" s="137" t="s">
        <v>518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zoomScale="90" zoomScaleNormal="90" zoomScalePageLayoutView="90" workbookViewId="0">
      <selection sqref="A1:F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9" t="s">
        <v>545</v>
      </c>
      <c r="B1" s="169"/>
      <c r="C1" s="169"/>
      <c r="D1" s="169"/>
      <c r="E1" s="169"/>
      <c r="F1" s="169"/>
    </row>
    <row r="2" spans="1:6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9"/>
    </row>
    <row r="3" spans="1:6" x14ac:dyDescent="0.25">
      <c r="A3" s="160" t="s">
        <v>117</v>
      </c>
      <c r="B3" s="161"/>
      <c r="C3" s="161"/>
      <c r="D3" s="161"/>
      <c r="E3" s="161"/>
      <c r="F3" s="162"/>
    </row>
    <row r="4" spans="1:6" x14ac:dyDescent="0.25">
      <c r="A4" s="163" t="str">
        <f>PERIODO_INFORME</f>
        <v>Al 31 de diciembre de 2018 y al 31 de diciembre de 2019 (b)</v>
      </c>
      <c r="B4" s="164"/>
      <c r="C4" s="164"/>
      <c r="D4" s="164"/>
      <c r="E4" s="164"/>
      <c r="F4" s="165"/>
    </row>
    <row r="5" spans="1:6" x14ac:dyDescent="0.25">
      <c r="A5" s="166" t="s">
        <v>118</v>
      </c>
      <c r="B5" s="167"/>
      <c r="C5" s="167"/>
      <c r="D5" s="167"/>
      <c r="E5" s="167"/>
      <c r="F5" s="168"/>
    </row>
    <row r="6" spans="1:6" s="3" customFormat="1" ht="30" x14ac:dyDescent="0.2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449827713.04000002</v>
      </c>
      <c r="C9" s="60">
        <f>SUM(C10:C16)</f>
        <v>411870735.46999997</v>
      </c>
      <c r="D9" s="100" t="s">
        <v>54</v>
      </c>
      <c r="E9" s="60">
        <f>SUM(E10:E18)</f>
        <v>11370592.09</v>
      </c>
      <c r="F9" s="60">
        <f>SUM(F10:F18)</f>
        <v>29775981.100000001</v>
      </c>
    </row>
    <row r="10" spans="1:6" x14ac:dyDescent="0.25">
      <c r="A10" s="96" t="s">
        <v>4</v>
      </c>
      <c r="B10" s="150">
        <v>602000</v>
      </c>
      <c r="C10" s="149">
        <v>559499.73</v>
      </c>
      <c r="D10" s="101" t="s">
        <v>55</v>
      </c>
      <c r="E10" s="60">
        <v>0</v>
      </c>
      <c r="F10" s="149">
        <v>0</v>
      </c>
    </row>
    <row r="11" spans="1:6" x14ac:dyDescent="0.25">
      <c r="A11" s="96" t="s">
        <v>5</v>
      </c>
      <c r="B11" s="150">
        <v>33554358.350000001</v>
      </c>
      <c r="C11" s="149">
        <v>58037166.049999997</v>
      </c>
      <c r="D11" s="101" t="s">
        <v>56</v>
      </c>
      <c r="E11" s="150">
        <v>4418042.09</v>
      </c>
      <c r="F11" s="149">
        <v>8231786.8700000001</v>
      </c>
    </row>
    <row r="12" spans="1:6" x14ac:dyDescent="0.25">
      <c r="A12" s="96" t="s">
        <v>6</v>
      </c>
      <c r="B12" s="77">
        <v>0</v>
      </c>
      <c r="C12" s="149">
        <v>0</v>
      </c>
      <c r="D12" s="101" t="s">
        <v>57</v>
      </c>
      <c r="E12" s="150">
        <v>3423210.43</v>
      </c>
      <c r="F12" s="149">
        <v>17595994.84</v>
      </c>
    </row>
    <row r="13" spans="1:6" x14ac:dyDescent="0.25">
      <c r="A13" s="96" t="s">
        <v>7</v>
      </c>
      <c r="B13" s="150">
        <v>415671354.69</v>
      </c>
      <c r="C13" s="149">
        <v>353274069.69</v>
      </c>
      <c r="D13" s="101" t="s">
        <v>58</v>
      </c>
      <c r="E13" s="60">
        <v>0</v>
      </c>
      <c r="F13" s="149">
        <v>2462</v>
      </c>
    </row>
    <row r="14" spans="1:6" x14ac:dyDescent="0.25">
      <c r="A14" s="96" t="s">
        <v>8</v>
      </c>
      <c r="B14" s="60">
        <v>0</v>
      </c>
      <c r="C14" s="149">
        <v>0</v>
      </c>
      <c r="D14" s="101" t="s">
        <v>59</v>
      </c>
      <c r="E14" s="60">
        <v>0</v>
      </c>
      <c r="F14" s="149">
        <v>0</v>
      </c>
    </row>
    <row r="15" spans="1:6" x14ac:dyDescent="0.25">
      <c r="A15" s="96" t="s">
        <v>9</v>
      </c>
      <c r="B15" s="60">
        <v>0</v>
      </c>
      <c r="C15" s="149">
        <v>0</v>
      </c>
      <c r="D15" s="101" t="s">
        <v>60</v>
      </c>
      <c r="E15" s="60">
        <v>0</v>
      </c>
      <c r="F15" s="149">
        <v>0</v>
      </c>
    </row>
    <row r="16" spans="1:6" x14ac:dyDescent="0.25">
      <c r="A16" s="96" t="s">
        <v>10</v>
      </c>
      <c r="B16" s="60">
        <v>0</v>
      </c>
      <c r="C16" s="149">
        <v>0</v>
      </c>
      <c r="D16" s="101" t="s">
        <v>61</v>
      </c>
      <c r="E16" s="150">
        <v>2292556.06</v>
      </c>
      <c r="F16" s="149">
        <v>2524645.2799999998</v>
      </c>
    </row>
    <row r="17" spans="1:6" x14ac:dyDescent="0.25">
      <c r="A17" s="95" t="s">
        <v>11</v>
      </c>
      <c r="B17" s="60">
        <f>SUM(B18:B24)</f>
        <v>24360603.130000003</v>
      </c>
      <c r="C17" s="60">
        <f>SUM(C18:C24)</f>
        <v>43745248.780000001</v>
      </c>
      <c r="D17" s="101" t="s">
        <v>62</v>
      </c>
      <c r="E17" s="60">
        <v>0</v>
      </c>
      <c r="F17" s="149">
        <v>0</v>
      </c>
    </row>
    <row r="18" spans="1:6" x14ac:dyDescent="0.25">
      <c r="A18" s="97" t="s">
        <v>12</v>
      </c>
      <c r="B18" s="60">
        <v>0</v>
      </c>
      <c r="C18" s="149">
        <v>0</v>
      </c>
      <c r="D18" s="101" t="s">
        <v>63</v>
      </c>
      <c r="E18" s="150">
        <v>1236783.51</v>
      </c>
      <c r="F18" s="149">
        <v>1421092.11</v>
      </c>
    </row>
    <row r="19" spans="1:6" x14ac:dyDescent="0.25">
      <c r="A19" s="97" t="s">
        <v>13</v>
      </c>
      <c r="B19" s="150">
        <v>13562245.470000001</v>
      </c>
      <c r="C19" s="149">
        <v>21578195.199999999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50">
        <v>1422165.2</v>
      </c>
      <c r="C20" s="149">
        <v>1597782</v>
      </c>
      <c r="D20" s="101" t="s">
        <v>65</v>
      </c>
      <c r="E20" s="60">
        <v>0</v>
      </c>
      <c r="F20" s="149">
        <v>0</v>
      </c>
    </row>
    <row r="21" spans="1:6" x14ac:dyDescent="0.25">
      <c r="A21" s="97" t="s">
        <v>15</v>
      </c>
      <c r="B21" s="60">
        <v>0</v>
      </c>
      <c r="C21" s="149">
        <v>0</v>
      </c>
      <c r="D21" s="101" t="s">
        <v>66</v>
      </c>
      <c r="E21" s="60">
        <v>0</v>
      </c>
      <c r="F21" s="149">
        <v>0</v>
      </c>
    </row>
    <row r="22" spans="1:6" x14ac:dyDescent="0.25">
      <c r="A22" s="97" t="s">
        <v>16</v>
      </c>
      <c r="B22" s="60">
        <v>0</v>
      </c>
      <c r="C22" s="149">
        <v>0</v>
      </c>
      <c r="D22" s="101" t="s">
        <v>67</v>
      </c>
      <c r="E22" s="60">
        <v>0</v>
      </c>
      <c r="F22" s="149">
        <v>0</v>
      </c>
    </row>
    <row r="23" spans="1:6" x14ac:dyDescent="0.25">
      <c r="A23" s="97" t="s">
        <v>17</v>
      </c>
      <c r="B23" s="60">
        <v>0</v>
      </c>
      <c r="C23" s="149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150">
        <v>9376192.4600000009</v>
      </c>
      <c r="C24" s="149">
        <v>20569271.579999998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14755396.08</v>
      </c>
      <c r="C25" s="60">
        <f>SUM(C26:C30)</f>
        <v>11180861.27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50">
        <v>5568</v>
      </c>
      <c r="C26" s="149">
        <v>16740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149">
        <v>0</v>
      </c>
      <c r="D27" s="100" t="s">
        <v>72</v>
      </c>
      <c r="E27" s="60">
        <f>SUM(E28:E30)</f>
        <v>1633816.51</v>
      </c>
      <c r="F27" s="60">
        <f>SUM(F28:F30)</f>
        <v>2277551.62</v>
      </c>
    </row>
    <row r="28" spans="1:6" x14ac:dyDescent="0.25">
      <c r="A28" s="97" t="s">
        <v>22</v>
      </c>
      <c r="B28" s="60">
        <v>0</v>
      </c>
      <c r="C28" s="149">
        <v>0</v>
      </c>
      <c r="D28" s="101" t="s">
        <v>73</v>
      </c>
      <c r="E28" s="150">
        <v>1633816.51</v>
      </c>
      <c r="F28" s="149">
        <v>2277551.62</v>
      </c>
    </row>
    <row r="29" spans="1:6" x14ac:dyDescent="0.25">
      <c r="A29" s="97" t="s">
        <v>23</v>
      </c>
      <c r="B29" s="150">
        <v>14749828.08</v>
      </c>
      <c r="C29" s="149">
        <v>11164121.27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149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50">
        <v>15485863.800000001</v>
      </c>
      <c r="C37" s="149">
        <v>13376659.949999999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1">
        <f>B9+B17+B25+B31+B38+B41+B37</f>
        <v>504429576.05000001</v>
      </c>
      <c r="C47" s="61">
        <f>C9+C17+C25+C31+C38+C41+C37</f>
        <v>480173505.46999997</v>
      </c>
      <c r="D47" s="99" t="s">
        <v>91</v>
      </c>
      <c r="E47" s="61">
        <f>E9+E19+E23+E26+E27+E31+E38+E42</f>
        <v>13004408.6</v>
      </c>
      <c r="F47" s="61">
        <f>F9+F19+F23+F26+F27+F31+F38+F42</f>
        <v>32053532.720000003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149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52">
        <v>43556000</v>
      </c>
      <c r="C51" s="149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52">
        <v>1856745075.78</v>
      </c>
      <c r="C52" s="149">
        <v>1759333160.1800001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52">
        <v>178031161.12</v>
      </c>
      <c r="C53" s="149">
        <v>176554606.22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52">
        <v>2631963.11</v>
      </c>
      <c r="C54" s="149">
        <v>2631963.11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52">
        <v>-636018604.37</v>
      </c>
      <c r="C55" s="149">
        <v>-577572837.77999997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52">
        <v>1659363.35</v>
      </c>
      <c r="C56" s="149">
        <v>1656907.75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149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149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13004408.6</v>
      </c>
      <c r="F59" s="61">
        <f>F47+F57</f>
        <v>32053532.720000003</v>
      </c>
    </row>
    <row r="60" spans="1:6" x14ac:dyDescent="0.25">
      <c r="A60" s="55" t="s">
        <v>50</v>
      </c>
      <c r="B60" s="61">
        <f>SUM(B50:B58)</f>
        <v>1446604958.9899998</v>
      </c>
      <c r="C60" s="61">
        <f>SUM(C50:C58)</f>
        <v>1362603799.48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1951034535.0399997</v>
      </c>
      <c r="C62" s="61">
        <f>SUM(C47+C60)</f>
        <v>1842777304.95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404124721.91000003</v>
      </c>
      <c r="F63" s="77">
        <f>SUM(F64:F66)</f>
        <v>398304509.64000005</v>
      </c>
    </row>
    <row r="64" spans="1:6" x14ac:dyDescent="0.25">
      <c r="A64" s="54"/>
      <c r="B64" s="54"/>
      <c r="C64" s="54"/>
      <c r="D64" s="103" t="s">
        <v>103</v>
      </c>
      <c r="E64" s="152">
        <v>4610300.5999999996</v>
      </c>
      <c r="F64" s="149">
        <v>4610300.5999999996</v>
      </c>
    </row>
    <row r="65" spans="1:6" x14ac:dyDescent="0.25">
      <c r="A65" s="54"/>
      <c r="B65" s="54"/>
      <c r="C65" s="54"/>
      <c r="D65" s="41" t="s">
        <v>104</v>
      </c>
      <c r="E65" s="152">
        <v>16497046.65</v>
      </c>
      <c r="F65" s="149">
        <v>10676834.380000001</v>
      </c>
    </row>
    <row r="66" spans="1:6" x14ac:dyDescent="0.25">
      <c r="A66" s="54"/>
      <c r="B66" s="54"/>
      <c r="C66" s="54"/>
      <c r="D66" s="103" t="s">
        <v>105</v>
      </c>
      <c r="E66" s="152">
        <v>383017374.66000003</v>
      </c>
      <c r="F66" s="149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1533905404.53</v>
      </c>
      <c r="F68" s="77">
        <f>SUM(F69:F73)</f>
        <v>1412419262.5899999</v>
      </c>
    </row>
    <row r="69" spans="1:6" x14ac:dyDescent="0.25">
      <c r="A69" s="12"/>
      <c r="B69" s="54"/>
      <c r="C69" s="54"/>
      <c r="D69" s="103" t="s">
        <v>107</v>
      </c>
      <c r="E69" s="152">
        <v>139060929.19</v>
      </c>
      <c r="F69" s="149">
        <v>225633456.27000001</v>
      </c>
    </row>
    <row r="70" spans="1:6" x14ac:dyDescent="0.25">
      <c r="A70" s="12"/>
      <c r="B70" s="54"/>
      <c r="C70" s="54"/>
      <c r="D70" s="103" t="s">
        <v>108</v>
      </c>
      <c r="E70" s="152">
        <v>1387529329.47</v>
      </c>
      <c r="F70" s="149">
        <v>1179471578.45</v>
      </c>
    </row>
    <row r="71" spans="1:6" x14ac:dyDescent="0.25">
      <c r="A71" s="12"/>
      <c r="B71" s="54"/>
      <c r="C71" s="54"/>
      <c r="D71" s="103" t="s">
        <v>109</v>
      </c>
      <c r="E71" s="152">
        <v>5064933.6100000003</v>
      </c>
      <c r="F71" s="149">
        <v>5064933.6100000003</v>
      </c>
    </row>
    <row r="72" spans="1:6" x14ac:dyDescent="0.25">
      <c r="A72" s="12"/>
      <c r="B72" s="54"/>
      <c r="C72" s="54"/>
      <c r="D72" s="103" t="s">
        <v>110</v>
      </c>
      <c r="E72" s="152">
        <v>0</v>
      </c>
      <c r="F72" s="149">
        <v>0</v>
      </c>
    </row>
    <row r="73" spans="1:6" x14ac:dyDescent="0.25">
      <c r="A73" s="12"/>
      <c r="B73" s="54"/>
      <c r="C73" s="54"/>
      <c r="D73" s="103" t="s">
        <v>111</v>
      </c>
      <c r="E73" s="152">
        <v>2250212.2599999998</v>
      </c>
      <c r="F73" s="149">
        <v>2249294.2599999998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1938030126.4400001</v>
      </c>
      <c r="F79" s="61">
        <f>F63+F68+F75</f>
        <v>1810723772.23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1951034535.04</v>
      </c>
      <c r="F81" s="61">
        <f>F59+F79</f>
        <v>1842777304.95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449827713.04000002</v>
      </c>
      <c r="Q4" s="18">
        <f>'Formato 1'!C9</f>
        <v>411870735.46999997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602000</v>
      </c>
      <c r="Q5" s="18">
        <f>'Formato 1'!C10</f>
        <v>559499.73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33554358.350000001</v>
      </c>
      <c r="Q6" s="18">
        <f>'Formato 1'!C11</f>
        <v>58037166.049999997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415671354.69</v>
      </c>
      <c r="Q8" s="18">
        <f>'Formato 1'!C13</f>
        <v>353274069.69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24360603.130000003</v>
      </c>
      <c r="Q12" s="18">
        <f>'Formato 1'!C17</f>
        <v>43745248.780000001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13562245.470000001</v>
      </c>
      <c r="Q14" s="18">
        <f>'Formato 1'!C19</f>
        <v>21578195.199999999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1422165.2</v>
      </c>
      <c r="Q15" s="18">
        <f>'Formato 1'!C20</f>
        <v>1597782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9376192.4600000009</v>
      </c>
      <c r="Q19" s="18">
        <f>'Formato 1'!C24</f>
        <v>20569271.579999998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14755396.08</v>
      </c>
      <c r="Q20" s="18">
        <f>'Formato 1'!C25</f>
        <v>11180861.27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5568</v>
      </c>
      <c r="Q21" s="18">
        <f>'Formato 1'!C26</f>
        <v>16740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14749828.08</v>
      </c>
      <c r="Q24" s="18">
        <f>'Formato 1'!C29</f>
        <v>11164121.27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15485863.800000001</v>
      </c>
      <c r="Q32" s="18">
        <f>'Formato 1'!C37</f>
        <v>13376659.949999999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15485863.800000001</v>
      </c>
      <c r="Q33" s="18">
        <f>'Formato 1'!C37</f>
        <v>13376659.949999999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504429576.05000001</v>
      </c>
      <c r="Q42" s="18">
        <f>'Formato 1'!C47</f>
        <v>480173505.46999997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43556000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1856745075.78</v>
      </c>
      <c r="Q46">
        <f>'Formato 1'!C52</f>
        <v>1759333160.1800001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178031161.12</v>
      </c>
      <c r="Q47">
        <f>'Formato 1'!C53</f>
        <v>176554606.22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2631963.11</v>
      </c>
      <c r="Q48">
        <f>'Formato 1'!C54</f>
        <v>2631963.11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-636018604.37</v>
      </c>
      <c r="Q49">
        <f>'Formato 1'!C55</f>
        <v>-577572837.77999997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1659363.35</v>
      </c>
      <c r="Q50">
        <f>'Formato 1'!C56</f>
        <v>1656907.75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1446604958.9899998</v>
      </c>
      <c r="Q53">
        <f>'Formato 1'!C60</f>
        <v>1362603799.48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1951034535.0399997</v>
      </c>
      <c r="Q54">
        <f>'Formato 1'!C62</f>
        <v>1842777304.95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11370592.09</v>
      </c>
      <c r="Q57">
        <f>'Formato 1'!F9</f>
        <v>29775981.100000001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4418042.09</v>
      </c>
      <c r="Q59">
        <f>'Formato 1'!F11</f>
        <v>8231786.8700000001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3423210.43</v>
      </c>
      <c r="Q60">
        <f>'Formato 1'!F12</f>
        <v>17595994.84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2462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2292556.06</v>
      </c>
      <c r="Q64">
        <f>'Formato 1'!F16</f>
        <v>2524645.2799999998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1236783.51</v>
      </c>
      <c r="Q66">
        <f>'Formato 1'!F18</f>
        <v>1421092.11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1633816.51</v>
      </c>
      <c r="Q76">
        <f>'Formato 1'!F27</f>
        <v>2277551.62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1633816.51</v>
      </c>
      <c r="Q77">
        <f>'Formato 1'!F28</f>
        <v>2277551.62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13004408.6</v>
      </c>
      <c r="Q95">
        <f>'Formato 1'!F47</f>
        <v>32053532.720000003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13004408.6</v>
      </c>
      <c r="Q104">
        <f>'Formato 1'!F59</f>
        <v>32053532.720000003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404124721.91000003</v>
      </c>
      <c r="Q106">
        <f>'Formato 1'!F63</f>
        <v>398304509.64000005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16497046.65</v>
      </c>
      <c r="Q108">
        <f>'Formato 1'!F65</f>
        <v>10676834.380000001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1533905404.53</v>
      </c>
      <c r="Q110">
        <f>'Formato 1'!F68</f>
        <v>1412419262.5899999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139060929.19</v>
      </c>
      <c r="Q111">
        <f>'Formato 1'!F69</f>
        <v>225633456.27000001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1387529329.47</v>
      </c>
      <c r="Q112">
        <f>'Formato 1'!F70</f>
        <v>1179471578.45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2250212.2599999998</v>
      </c>
      <c r="Q115">
        <f>'Formato 1'!F73</f>
        <v>2249294.2599999998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1938030126.4400001</v>
      </c>
      <c r="Q119">
        <f>'Formato 1'!F79</f>
        <v>1810723772.23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1951034535.04</v>
      </c>
      <c r="Q120">
        <f>'Formato 1'!F81</f>
        <v>1842777304.95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tabSelected="1" zoomScale="90" zoomScaleNormal="90" zoomScalePageLayoutView="90" workbookViewId="0">
      <selection activeCell="A18" sqref="A18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71" t="s">
        <v>544</v>
      </c>
      <c r="B1" s="171"/>
      <c r="C1" s="171"/>
      <c r="D1" s="171"/>
      <c r="E1" s="171"/>
      <c r="F1" s="171"/>
      <c r="G1" s="171"/>
      <c r="H1" s="171"/>
    </row>
    <row r="2" spans="1:9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9"/>
    </row>
    <row r="3" spans="1:9" x14ac:dyDescent="0.25">
      <c r="A3" s="160" t="s">
        <v>120</v>
      </c>
      <c r="B3" s="161"/>
      <c r="C3" s="161"/>
      <c r="D3" s="161"/>
      <c r="E3" s="161"/>
      <c r="F3" s="161"/>
      <c r="G3" s="161"/>
      <c r="H3" s="162"/>
    </row>
    <row r="4" spans="1:9" x14ac:dyDescent="0.25">
      <c r="A4" s="163" t="str">
        <f>PERIODO_INFORME</f>
        <v>Al 31 de diciembre de 2018 y al 31 de diciembre de 2019 (b)</v>
      </c>
      <c r="B4" s="164"/>
      <c r="C4" s="164"/>
      <c r="D4" s="164"/>
      <c r="E4" s="164"/>
      <c r="F4" s="164"/>
      <c r="G4" s="164"/>
      <c r="H4" s="165"/>
    </row>
    <row r="5" spans="1:9" x14ac:dyDescent="0.25">
      <c r="A5" s="166" t="s">
        <v>118</v>
      </c>
      <c r="B5" s="167"/>
      <c r="C5" s="167"/>
      <c r="D5" s="167"/>
      <c r="E5" s="167"/>
      <c r="F5" s="167"/>
      <c r="G5" s="167"/>
      <c r="H5" s="168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32053532.719999999</v>
      </c>
      <c r="C18" s="132"/>
      <c r="D18" s="132"/>
      <c r="E18" s="132"/>
      <c r="F18" s="61">
        <v>13004408.6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32053532.719999999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13004408.6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70" t="s">
        <v>3300</v>
      </c>
      <c r="B33" s="170"/>
      <c r="C33" s="170"/>
      <c r="D33" s="170"/>
      <c r="E33" s="170"/>
      <c r="F33" s="170"/>
      <c r="G33" s="170"/>
      <c r="H33" s="170"/>
    </row>
    <row r="34" spans="1:8" ht="12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2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2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2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32053532.719999999</v>
      </c>
      <c r="Q12" s="18"/>
      <c r="R12" s="18"/>
      <c r="S12" s="18"/>
      <c r="T12" s="18">
        <f>'Formato 2'!F18</f>
        <v>13004408.6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32053532.719999999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13004408.6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90" zoomScaleNormal="90" zoomScalePageLayoutView="90" workbookViewId="0">
      <selection activeCell="A16" sqref="A16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9" t="s">
        <v>543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11"/>
    </row>
    <row r="2" spans="1:12" x14ac:dyDescent="0.25">
      <c r="A2" s="157" t="str">
        <f>ENTE_PUBLICO_A</f>
        <v>JUNTA DE AGUA POTABLE DRENAJE ALCANTARILLADO Y SANEAMIENTO DEL MUNICIPIO DE IRAPUATO GTO, Gobierno del Estado de Guanajuato (a)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2" x14ac:dyDescent="0.25">
      <c r="A3" s="160" t="s">
        <v>146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</row>
    <row r="4" spans="1:12" x14ac:dyDescent="0.25">
      <c r="A4" s="163" t="str">
        <f>TRIMESTRE</f>
        <v>Del 1 de enero al 31 de diciembre de 2019 (b)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</row>
    <row r="5" spans="1:12" x14ac:dyDescent="0.25">
      <c r="A5" s="160" t="s">
        <v>118</v>
      </c>
      <c r="B5" s="161"/>
      <c r="C5" s="161"/>
      <c r="D5" s="161"/>
      <c r="E5" s="161"/>
      <c r="F5" s="161"/>
      <c r="G5" s="161"/>
      <c r="H5" s="161"/>
      <c r="I5" s="161"/>
      <c r="J5" s="161"/>
      <c r="K5" s="162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2020-01-23T15:15:58Z</dcterms:modified>
</cp:coreProperties>
</file>