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5685" yWindow="3375" windowWidth="20730" windowHeight="11700" tabRatio="831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b)'!$A$56</definedName>
    <definedName name="GASTO_E_FIN">'Formato 6 b)'!$A$102</definedName>
    <definedName name="GASTO_E_FIN_01">'Formato 6 b)'!$B$102</definedName>
    <definedName name="GASTO_E_FIN_02">'Formato 6 b)'!$C$102</definedName>
    <definedName name="GASTO_E_FIN_03">'Formato 6 b)'!$D$102</definedName>
    <definedName name="GASTO_E_FIN_04">'Formato 6 b)'!$E$102</definedName>
    <definedName name="GASTO_E_FIN_05">'Formato 6 b)'!$F$102</definedName>
    <definedName name="GASTO_E_FIN_06">'Formato 6 b)'!$G$102</definedName>
    <definedName name="GASTO_E_T1">'Formato 6 b)'!$B$56</definedName>
    <definedName name="GASTO_E_T2">'Formato 6 b)'!$C$56</definedName>
    <definedName name="GASTO_E_T3">'Formato 6 b)'!$D$56</definedName>
    <definedName name="GASTO_E_T4">'Formato 6 b)'!$E$56</definedName>
    <definedName name="GASTO_E_T5">'Formato 6 b)'!$F$56</definedName>
    <definedName name="GASTO_E_T6">'Formato 6 b)'!$G$56</definedName>
    <definedName name="GASTO_NE">'Formato 6 b)'!$A$9</definedName>
    <definedName name="GASTO_NE_FIN">'Formato 6 b)'!$A$55</definedName>
    <definedName name="GASTO_NE_FIN_01">'Formato 6 b)'!$B$55</definedName>
    <definedName name="GASTO_NE_FIN_02">'Formato 6 b)'!$C$55</definedName>
    <definedName name="GASTO_NE_FIN_03">'Formato 6 b)'!$D$55</definedName>
    <definedName name="GASTO_NE_FIN_04">'Formato 6 b)'!$E$55</definedName>
    <definedName name="GASTO_NE_FIN_05">'Formato 6 b)'!$F$55</definedName>
    <definedName name="GASTO_NE_FIN_06">'Formato 6 b)'!$G$55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b)'!$B$103</definedName>
    <definedName name="TOTAL_E_T2">'Formato 6 b)'!$C$103</definedName>
    <definedName name="TOTAL_E_T3">'Formato 6 b)'!$D$103</definedName>
    <definedName name="TOTAL_E_T4">'Formato 6 b)'!$E$103</definedName>
    <definedName name="TOTAL_E_T5">'Formato 6 b)'!$F$103</definedName>
    <definedName name="TOTAL_E_T6">'Formato 6 b)'!$G$103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F42" i="1" l="1"/>
  <c r="F38" i="1"/>
  <c r="F31" i="1"/>
  <c r="F27" i="1"/>
  <c r="F23" i="1"/>
  <c r="F19" i="1"/>
  <c r="F9" i="1"/>
  <c r="C47" i="1"/>
  <c r="C41" i="1"/>
  <c r="C38" i="1"/>
  <c r="C31" i="1"/>
  <c r="C25" i="1"/>
  <c r="C17" i="1"/>
  <c r="C9" i="1"/>
  <c r="B10" i="6" l="1"/>
  <c r="C10" i="6"/>
  <c r="D10" i="6"/>
  <c r="E10" i="6"/>
  <c r="F10" i="6"/>
  <c r="G15" i="11" l="1"/>
  <c r="G14" i="11"/>
  <c r="G13" i="11"/>
  <c r="G12" i="11"/>
  <c r="G11" i="11"/>
  <c r="G10" i="11"/>
  <c r="G9" i="11"/>
  <c r="G65" i="7"/>
  <c r="G64" i="7"/>
  <c r="G63" i="7"/>
  <c r="G62" i="7"/>
  <c r="G61" i="7"/>
  <c r="G60" i="7"/>
  <c r="G59" i="7"/>
  <c r="G58" i="7"/>
  <c r="G71" i="7"/>
  <c r="G70" i="7"/>
  <c r="G69" i="7"/>
  <c r="G68" i="7"/>
  <c r="G67" i="7"/>
  <c r="G66" i="7"/>
  <c r="G77" i="7"/>
  <c r="G76" i="7"/>
  <c r="G75" i="7"/>
  <c r="G74" i="7"/>
  <c r="G73" i="7"/>
  <c r="G72" i="7"/>
  <c r="G83" i="7"/>
  <c r="G82" i="7"/>
  <c r="G81" i="7"/>
  <c r="G80" i="7"/>
  <c r="G79" i="7"/>
  <c r="G78" i="7"/>
  <c r="G89" i="7"/>
  <c r="G88" i="7"/>
  <c r="G87" i="7"/>
  <c r="G86" i="7"/>
  <c r="G85" i="7"/>
  <c r="G84" i="7"/>
  <c r="G91" i="7"/>
  <c r="G92" i="7"/>
  <c r="G93" i="7"/>
  <c r="G94" i="7"/>
  <c r="G95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11" i="7"/>
  <c r="D58" i="5"/>
  <c r="D48" i="5"/>
  <c r="D15" i="5"/>
  <c r="D14" i="5"/>
  <c r="D13" i="5"/>
  <c r="C21" i="12"/>
  <c r="G138" i="6"/>
  <c r="G139" i="6"/>
  <c r="G140" i="6"/>
  <c r="G141" i="6"/>
  <c r="G142" i="6"/>
  <c r="G144" i="6"/>
  <c r="G145" i="6"/>
  <c r="G137" i="6"/>
  <c r="U129" i="24" s="1"/>
  <c r="C137" i="6"/>
  <c r="D137" i="6"/>
  <c r="E137" i="6"/>
  <c r="F137" i="6"/>
  <c r="B137" i="6"/>
  <c r="C62" i="6"/>
  <c r="D62" i="6"/>
  <c r="E62" i="6"/>
  <c r="F62" i="6"/>
  <c r="G63" i="6"/>
  <c r="G64" i="6"/>
  <c r="G65" i="6"/>
  <c r="U58" i="24" s="1"/>
  <c r="G66" i="6"/>
  <c r="G67" i="6"/>
  <c r="U60" i="24" s="1"/>
  <c r="G69" i="6"/>
  <c r="G70" i="6"/>
  <c r="B62" i="6"/>
  <c r="B8" i="10"/>
  <c r="C6" i="23"/>
  <c r="C7" i="23" s="1"/>
  <c r="B9" i="1"/>
  <c r="P4" i="15" s="1"/>
  <c r="H25" i="23"/>
  <c r="F5" i="12"/>
  <c r="G25" i="23"/>
  <c r="E5" i="13"/>
  <c r="F25" i="23"/>
  <c r="E25" i="23"/>
  <c r="C5" i="12" s="1"/>
  <c r="D25" i="23"/>
  <c r="B5" i="12" s="1"/>
  <c r="G30" i="9"/>
  <c r="G31" i="9"/>
  <c r="U23" i="27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G73" i="8"/>
  <c r="G74" i="8"/>
  <c r="G75" i="8"/>
  <c r="G72" i="8"/>
  <c r="G71" i="8" s="1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U32" i="26" s="1"/>
  <c r="G40" i="8"/>
  <c r="G41" i="8"/>
  <c r="U34" i="26"/>
  <c r="G38" i="8"/>
  <c r="G11" i="8"/>
  <c r="U4" i="26" s="1"/>
  <c r="G12" i="8"/>
  <c r="G13" i="8"/>
  <c r="U6" i="26"/>
  <c r="G14" i="8"/>
  <c r="G15" i="8"/>
  <c r="U8" i="26" s="1"/>
  <c r="G16" i="8"/>
  <c r="G17" i="8"/>
  <c r="U10" i="26"/>
  <c r="G18" i="8"/>
  <c r="G10" i="8"/>
  <c r="G20" i="8"/>
  <c r="G21" i="8"/>
  <c r="G22" i="8"/>
  <c r="G23" i="8"/>
  <c r="G24" i="8"/>
  <c r="G25" i="8"/>
  <c r="G26" i="8"/>
  <c r="G28" i="8"/>
  <c r="G29" i="8"/>
  <c r="G30" i="8"/>
  <c r="G31" i="8"/>
  <c r="G32" i="8"/>
  <c r="G33" i="8"/>
  <c r="G34" i="8"/>
  <c r="G35" i="8"/>
  <c r="G36" i="8"/>
  <c r="G27" i="8"/>
  <c r="U20" i="26" s="1"/>
  <c r="U25" i="26"/>
  <c r="U27" i="26"/>
  <c r="U29" i="26"/>
  <c r="G90" i="7"/>
  <c r="G96" i="7"/>
  <c r="G97" i="7"/>
  <c r="G98" i="7"/>
  <c r="G99" i="7"/>
  <c r="G100" i="7"/>
  <c r="G101" i="7"/>
  <c r="G57" i="7"/>
  <c r="G56" i="7"/>
  <c r="G48" i="7"/>
  <c r="G49" i="7"/>
  <c r="G50" i="7"/>
  <c r="G51" i="7"/>
  <c r="G52" i="7"/>
  <c r="G53" i="7"/>
  <c r="G54" i="7"/>
  <c r="G10" i="7"/>
  <c r="B18" i="6"/>
  <c r="B28" i="6"/>
  <c r="B38" i="6"/>
  <c r="B48" i="6"/>
  <c r="B58" i="6"/>
  <c r="B71" i="6"/>
  <c r="B75" i="6"/>
  <c r="G152" i="6"/>
  <c r="G153" i="6"/>
  <c r="G151" i="6"/>
  <c r="G154" i="6"/>
  <c r="G155" i="6"/>
  <c r="G156" i="6"/>
  <c r="G157" i="6"/>
  <c r="G150" i="6"/>
  <c r="U142" i="24" s="1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U82" i="24" s="1"/>
  <c r="G91" i="6"/>
  <c r="G92" i="6"/>
  <c r="U84" i="24" s="1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3" i="6"/>
  <c r="G14" i="6"/>
  <c r="G15" i="6"/>
  <c r="G16" i="6"/>
  <c r="G17" i="6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16" i="5" s="1"/>
  <c r="G29" i="5"/>
  <c r="G30" i="5"/>
  <c r="G31" i="5"/>
  <c r="G32" i="5"/>
  <c r="G33" i="5"/>
  <c r="G28" i="5" s="1"/>
  <c r="U22" i="20" s="1"/>
  <c r="G34" i="5"/>
  <c r="G36" i="5"/>
  <c r="G35" i="5"/>
  <c r="G38" i="5"/>
  <c r="G39" i="5"/>
  <c r="G37" i="5" s="1"/>
  <c r="U31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C29" i="13" s="1"/>
  <c r="Q22" i="31" s="1"/>
  <c r="D7" i="13"/>
  <c r="D29" i="13"/>
  <c r="R22" i="31" s="1"/>
  <c r="E7" i="13"/>
  <c r="E29" i="13" s="1"/>
  <c r="S22" i="31" s="1"/>
  <c r="F7" i="13"/>
  <c r="F29" i="13" s="1"/>
  <c r="T22" i="31" s="1"/>
  <c r="G7" i="13"/>
  <c r="G29" i="13"/>
  <c r="U22" i="31" s="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Q15" i="30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/>
  <c r="F28" i="12"/>
  <c r="T21" i="30" s="1"/>
  <c r="G28" i="12"/>
  <c r="U21" i="30"/>
  <c r="P22" i="30"/>
  <c r="Q22" i="30"/>
  <c r="R22" i="30"/>
  <c r="S22" i="30"/>
  <c r="T22" i="30"/>
  <c r="U22" i="30"/>
  <c r="B7" i="12"/>
  <c r="B31" i="12" s="1"/>
  <c r="P23" i="30" s="1"/>
  <c r="C7" i="12"/>
  <c r="C31" i="12" s="1"/>
  <c r="Q23" i="30" s="1"/>
  <c r="D7" i="12"/>
  <c r="D31" i="12"/>
  <c r="R23" i="30" s="1"/>
  <c r="E7" i="12"/>
  <c r="E31" i="12" s="1"/>
  <c r="S23" i="30" s="1"/>
  <c r="F7" i="12"/>
  <c r="F31" i="12"/>
  <c r="T23" i="30" s="1"/>
  <c r="G7" i="12"/>
  <c r="G31" i="12" s="1"/>
  <c r="U23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 s="1"/>
  <c r="P22" i="29" s="1"/>
  <c r="C8" i="11"/>
  <c r="C30" i="11"/>
  <c r="Q22" i="29" s="1"/>
  <c r="D8" i="11"/>
  <c r="D30" i="11" s="1"/>
  <c r="R22" i="29" s="1"/>
  <c r="E8" i="11"/>
  <c r="E30" i="11" s="1"/>
  <c r="S22" i="29" s="1"/>
  <c r="F8" i="11"/>
  <c r="F30" i="11" s="1"/>
  <c r="T22" i="29" s="1"/>
  <c r="G8" i="11"/>
  <c r="G30" i="11" s="1"/>
  <c r="U22" i="29" s="1"/>
  <c r="Q2" i="29"/>
  <c r="S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 s="1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D12" i="9"/>
  <c r="D16" i="9"/>
  <c r="D9" i="9" s="1"/>
  <c r="R2" i="27" s="1"/>
  <c r="E12" i="9"/>
  <c r="E16" i="9"/>
  <c r="F12" i="9"/>
  <c r="F16" i="9"/>
  <c r="F9" i="9"/>
  <c r="T2" i="27" s="1"/>
  <c r="G12" i="9"/>
  <c r="G16" i="9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D24" i="9"/>
  <c r="D28" i="9"/>
  <c r="D21" i="9"/>
  <c r="R13" i="27" s="1"/>
  <c r="E24" i="9"/>
  <c r="E28" i="9"/>
  <c r="F24" i="9"/>
  <c r="F28" i="9"/>
  <c r="F21" i="9"/>
  <c r="T13" i="27" s="1"/>
  <c r="G24" i="9"/>
  <c r="G28" i="9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R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/>
  <c r="P6" i="27"/>
  <c r="P7" i="27"/>
  <c r="P8" i="27"/>
  <c r="B16" i="9"/>
  <c r="P9" i="27" s="1"/>
  <c r="P10" i="27"/>
  <c r="P11" i="27"/>
  <c r="P12" i="27"/>
  <c r="B24" i="9"/>
  <c r="B28" i="9"/>
  <c r="P14" i="27"/>
  <c r="P15" i="27"/>
  <c r="P16" i="27"/>
  <c r="P17" i="27"/>
  <c r="P18" i="27"/>
  <c r="P19" i="27"/>
  <c r="P21" i="27"/>
  <c r="P22" i="27"/>
  <c r="P23" i="27"/>
  <c r="A5" i="27"/>
  <c r="A4" i="27"/>
  <c r="A3" i="27"/>
  <c r="A2" i="27"/>
  <c r="C10" i="8"/>
  <c r="C19" i="8"/>
  <c r="Q12" i="26"/>
  <c r="C27" i="8"/>
  <c r="Q20" i="26"/>
  <c r="C37" i="8"/>
  <c r="D10" i="8"/>
  <c r="R3" i="26" s="1"/>
  <c r="D19" i="8"/>
  <c r="D27" i="8"/>
  <c r="D37" i="8"/>
  <c r="R30" i="26" s="1"/>
  <c r="E10" i="8"/>
  <c r="E19" i="8"/>
  <c r="E27" i="8"/>
  <c r="S20" i="26" s="1"/>
  <c r="E37" i="8"/>
  <c r="F10" i="8"/>
  <c r="T3" i="26"/>
  <c r="F19" i="8"/>
  <c r="F27" i="8"/>
  <c r="F37" i="8"/>
  <c r="T30" i="26"/>
  <c r="Q3" i="26"/>
  <c r="S3" i="26"/>
  <c r="U3" i="26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Q11" i="26"/>
  <c r="R11" i="26"/>
  <c r="S11" i="26"/>
  <c r="T11" i="26"/>
  <c r="U11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R20" i="26"/>
  <c r="T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U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Q30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U33" i="26"/>
  <c r="Q34" i="26"/>
  <c r="R34" i="26"/>
  <c r="S34" i="26"/>
  <c r="T34" i="26"/>
  <c r="C44" i="8"/>
  <c r="C53" i="8"/>
  <c r="C61" i="8"/>
  <c r="C71" i="8"/>
  <c r="Q63" i="26"/>
  <c r="D44" i="8"/>
  <c r="D53" i="8"/>
  <c r="D61" i="8"/>
  <c r="D71" i="8"/>
  <c r="E44" i="8"/>
  <c r="E53" i="8"/>
  <c r="E61" i="8"/>
  <c r="E71" i="8"/>
  <c r="S63" i="26"/>
  <c r="F44" i="8"/>
  <c r="F53" i="8"/>
  <c r="F61" i="8"/>
  <c r="F71" i="8"/>
  <c r="T63" i="26" s="1"/>
  <c r="G44" i="8"/>
  <c r="G53" i="8"/>
  <c r="U45" i="26"/>
  <c r="G61" i="8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R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R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B61" i="8"/>
  <c r="P53" i="26"/>
  <c r="B71" i="8"/>
  <c r="B43" i="8"/>
  <c r="P35" i="26" s="1"/>
  <c r="B10" i="8"/>
  <c r="B19" i="8"/>
  <c r="B27" i="8"/>
  <c r="P20" i="26" s="1"/>
  <c r="B37" i="8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F9" i="7"/>
  <c r="T2" i="25" s="1"/>
  <c r="F56" i="7"/>
  <c r="T3" i="25" s="1"/>
  <c r="E9" i="7"/>
  <c r="E56" i="7"/>
  <c r="D9" i="7"/>
  <c r="D56" i="7"/>
  <c r="R3" i="25" s="1"/>
  <c r="C9" i="7"/>
  <c r="Q2" i="25"/>
  <c r="C56" i="7"/>
  <c r="Q3" i="25" s="1"/>
  <c r="B9" i="7"/>
  <c r="B56" i="7"/>
  <c r="P3" i="25" s="1"/>
  <c r="A3" i="25"/>
  <c r="A4" i="25"/>
  <c r="A2" i="25"/>
  <c r="A87" i="24"/>
  <c r="C85" i="6"/>
  <c r="C93" i="6"/>
  <c r="C103" i="6"/>
  <c r="C113" i="6"/>
  <c r="Q105" i="24"/>
  <c r="C123" i="6"/>
  <c r="C133" i="6"/>
  <c r="C146" i="6"/>
  <c r="C150" i="6"/>
  <c r="Q142" i="24" s="1"/>
  <c r="D85" i="6"/>
  <c r="R77" i="24" s="1"/>
  <c r="D93" i="6"/>
  <c r="D103" i="6"/>
  <c r="R95" i="24"/>
  <c r="D113" i="6"/>
  <c r="D123" i="6"/>
  <c r="R115" i="24" s="1"/>
  <c r="D133" i="6"/>
  <c r="R125" i="24" s="1"/>
  <c r="D146" i="6"/>
  <c r="R138" i="24" s="1"/>
  <c r="D150" i="6"/>
  <c r="E85" i="6"/>
  <c r="E93" i="6"/>
  <c r="E103" i="6"/>
  <c r="E113" i="6"/>
  <c r="S105" i="24" s="1"/>
  <c r="E123" i="6"/>
  <c r="E133" i="6"/>
  <c r="S125" i="24" s="1"/>
  <c r="E146" i="6"/>
  <c r="E150" i="6"/>
  <c r="S142" i="24" s="1"/>
  <c r="F85" i="6"/>
  <c r="T77" i="24" s="1"/>
  <c r="F93" i="6"/>
  <c r="F103" i="6"/>
  <c r="T95" i="24"/>
  <c r="F113" i="6"/>
  <c r="F123" i="6"/>
  <c r="T115" i="24" s="1"/>
  <c r="F133" i="6"/>
  <c r="T125" i="24" s="1"/>
  <c r="F146" i="6"/>
  <c r="T138" i="24" s="1"/>
  <c r="F150" i="6"/>
  <c r="G93" i="6"/>
  <c r="G103" i="6"/>
  <c r="G113" i="6"/>
  <c r="G123" i="6"/>
  <c r="U115" i="24" s="1"/>
  <c r="G133" i="6"/>
  <c r="G146" i="6"/>
  <c r="Q77" i="24"/>
  <c r="S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U81" i="24"/>
  <c r="Q82" i="24"/>
  <c r="R82" i="24"/>
  <c r="S82" i="24"/>
  <c r="T82" i="24"/>
  <c r="Q83" i="24"/>
  <c r="R83" i="24"/>
  <c r="S83" i="24"/>
  <c r="T83" i="24"/>
  <c r="U83" i="24"/>
  <c r="Q84" i="24"/>
  <c r="R84" i="24"/>
  <c r="S84" i="24"/>
  <c r="T84" i="24"/>
  <c r="Q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S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R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S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S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R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8" i="6"/>
  <c r="C28" i="6"/>
  <c r="C38" i="6"/>
  <c r="C48" i="6"/>
  <c r="Q41" i="24" s="1"/>
  <c r="C58" i="6"/>
  <c r="C71" i="6"/>
  <c r="C75" i="6"/>
  <c r="D18" i="6"/>
  <c r="D28" i="6"/>
  <c r="D38" i="6"/>
  <c r="D48" i="6"/>
  <c r="D58" i="6"/>
  <c r="D71" i="6"/>
  <c r="D75" i="6"/>
  <c r="E18" i="6"/>
  <c r="E28" i="6"/>
  <c r="E38" i="6"/>
  <c r="E48" i="6"/>
  <c r="S41" i="24" s="1"/>
  <c r="E58" i="6"/>
  <c r="E71" i="6"/>
  <c r="E75" i="6"/>
  <c r="F18" i="6"/>
  <c r="F28" i="6"/>
  <c r="F38" i="6"/>
  <c r="F48" i="6"/>
  <c r="F58" i="6"/>
  <c r="F71" i="6"/>
  <c r="F75" i="6"/>
  <c r="G28" i="6"/>
  <c r="G38" i="6"/>
  <c r="G48" i="6"/>
  <c r="U41" i="24" s="1"/>
  <c r="G58" i="6"/>
  <c r="G71" i="6"/>
  <c r="G75" i="6"/>
  <c r="B85" i="6"/>
  <c r="P77" i="24" s="1"/>
  <c r="B93" i="6"/>
  <c r="B103" i="6"/>
  <c r="P95" i="24" s="1"/>
  <c r="B113" i="6"/>
  <c r="P105" i="24" s="1"/>
  <c r="B123" i="6"/>
  <c r="P115" i="24" s="1"/>
  <c r="B133" i="6"/>
  <c r="P125" i="24" s="1"/>
  <c r="B146" i="6"/>
  <c r="B150" i="6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R3" i="24"/>
  <c r="S3" i="24"/>
  <c r="T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R41" i="24"/>
  <c r="T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28" i="20"/>
  <c r="U29" i="20"/>
  <c r="U30" i="20"/>
  <c r="U32" i="20"/>
  <c r="U33" i="20"/>
  <c r="G46" i="5"/>
  <c r="G47" i="5"/>
  <c r="G48" i="5"/>
  <c r="G49" i="5"/>
  <c r="G50" i="5"/>
  <c r="G51" i="5"/>
  <c r="G52" i="5"/>
  <c r="G53" i="5"/>
  <c r="G45" i="5"/>
  <c r="U38" i="20"/>
  <c r="U39" i="20"/>
  <c r="U40" i="20"/>
  <c r="U41" i="20"/>
  <c r="U42" i="20"/>
  <c r="U43" i="20"/>
  <c r="U44" i="20"/>
  <c r="U45" i="20"/>
  <c r="G55" i="5"/>
  <c r="G56" i="5"/>
  <c r="G57" i="5"/>
  <c r="G58" i="5"/>
  <c r="G54" i="5" s="1"/>
  <c r="U46" i="20" s="1"/>
  <c r="U47" i="20"/>
  <c r="U48" i="20"/>
  <c r="U49" i="20"/>
  <c r="U50" i="20"/>
  <c r="G60" i="5"/>
  <c r="G61" i="5"/>
  <c r="G59" i="5" s="1"/>
  <c r="U51" i="20" s="1"/>
  <c r="U52" i="20"/>
  <c r="U53" i="20"/>
  <c r="G62" i="5"/>
  <c r="U54" i="20" s="1"/>
  <c r="G63" i="5"/>
  <c r="U55" i="20"/>
  <c r="G68" i="5"/>
  <c r="G67" i="5"/>
  <c r="U57" i="20" s="1"/>
  <c r="U58" i="20"/>
  <c r="G73" i="5"/>
  <c r="U60" i="20"/>
  <c r="G74" i="5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F65" i="5"/>
  <c r="T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/>
  <c r="P60" i="20"/>
  <c r="P58" i="20"/>
  <c r="B67" i="5"/>
  <c r="P57" i="20"/>
  <c r="B45" i="5"/>
  <c r="B54" i="5"/>
  <c r="B59" i="5"/>
  <c r="B65" i="5"/>
  <c r="P56" i="20" s="1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41" i="5" s="1"/>
  <c r="B35" i="5"/>
  <c r="B37" i="5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B6" i="1" s="1"/>
  <c r="F18" i="23"/>
  <c r="K6" i="3" s="1"/>
  <c r="E18" i="23"/>
  <c r="J6" i="3" s="1"/>
  <c r="D18" i="23"/>
  <c r="I6" i="3" s="1"/>
  <c r="F6" i="1"/>
  <c r="D5" i="13"/>
  <c r="C5" i="13"/>
  <c r="B5" i="13"/>
  <c r="D5" i="12"/>
  <c r="I25" i="23"/>
  <c r="D23" i="23"/>
  <c r="B6" i="11"/>
  <c r="I23" i="23"/>
  <c r="G6" i="11"/>
  <c r="H23" i="23"/>
  <c r="F6" i="11"/>
  <c r="G23" i="23"/>
  <c r="E6" i="11"/>
  <c r="F23" i="23"/>
  <c r="D6" i="10"/>
  <c r="D6" i="11"/>
  <c r="E23" i="23"/>
  <c r="C6" i="11" s="1"/>
  <c r="E6" i="10"/>
  <c r="B6" i="10"/>
  <c r="G5" i="13"/>
  <c r="G5" i="12"/>
  <c r="C11" i="23"/>
  <c r="A2" i="12" s="1"/>
  <c r="A2" i="13"/>
  <c r="A5" i="9"/>
  <c r="A5" i="8"/>
  <c r="A5" i="7"/>
  <c r="A5" i="6"/>
  <c r="A4" i="5"/>
  <c r="A4" i="4"/>
  <c r="A4" i="3"/>
  <c r="A4" i="2"/>
  <c r="A4" i="1"/>
  <c r="K15" i="3"/>
  <c r="K16" i="3"/>
  <c r="K17" i="3"/>
  <c r="K18" i="3"/>
  <c r="K9" i="3"/>
  <c r="K10" i="3"/>
  <c r="K11" i="3"/>
  <c r="K12" i="3"/>
  <c r="J14" i="3"/>
  <c r="X4" i="17" s="1"/>
  <c r="I14" i="3"/>
  <c r="I8" i="3"/>
  <c r="H14" i="3"/>
  <c r="V4" i="17" s="1"/>
  <c r="G14" i="3"/>
  <c r="U4" i="17" s="1"/>
  <c r="E14" i="3"/>
  <c r="E20" i="3" s="1"/>
  <c r="S5" i="17" s="1"/>
  <c r="J8" i="3"/>
  <c r="X3" i="17" s="1"/>
  <c r="H8" i="3"/>
  <c r="H20" i="3" s="1"/>
  <c r="V5" i="17" s="1"/>
  <c r="G8" i="3"/>
  <c r="G20" i="3" s="1"/>
  <c r="U5" i="17" s="1"/>
  <c r="E8" i="3"/>
  <c r="S3" i="17"/>
  <c r="F41" i="2"/>
  <c r="E41" i="2"/>
  <c r="D41" i="2"/>
  <c r="R17" i="16"/>
  <c r="C41" i="2"/>
  <c r="Q17" i="16" s="1"/>
  <c r="H27" i="2"/>
  <c r="V15" i="16"/>
  <c r="G27" i="2"/>
  <c r="U15" i="16"/>
  <c r="F27" i="2"/>
  <c r="E27" i="2"/>
  <c r="S15" i="16" s="1"/>
  <c r="D27" i="2"/>
  <c r="R15" i="16"/>
  <c r="C27" i="2"/>
  <c r="Q15" i="16" s="1"/>
  <c r="B41" i="2"/>
  <c r="P17" i="16" s="1"/>
  <c r="B27" i="2"/>
  <c r="P15" i="16" s="1"/>
  <c r="H22" i="2"/>
  <c r="G22" i="2"/>
  <c r="U14" i="16" s="1"/>
  <c r="F22" i="2"/>
  <c r="E22" i="2"/>
  <c r="T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/>
  <c r="B68" i="4"/>
  <c r="B63" i="4"/>
  <c r="P32" i="18" s="1"/>
  <c r="B64" i="4"/>
  <c r="B72" i="4"/>
  <c r="B55" i="4"/>
  <c r="B53" i="4"/>
  <c r="B48" i="4"/>
  <c r="B49" i="4"/>
  <c r="B57" i="4" s="1"/>
  <c r="B59" i="4" s="1"/>
  <c r="B37" i="4"/>
  <c r="B44" i="4" s="1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0" i="18"/>
  <c r="P28" i="18"/>
  <c r="P29" i="18"/>
  <c r="P26" i="18"/>
  <c r="P20" i="18"/>
  <c r="P21" i="18"/>
  <c r="P22" i="18"/>
  <c r="P23" i="18"/>
  <c r="P24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71" i="15"/>
  <c r="Q80" i="15"/>
  <c r="Q91" i="15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9" i="1"/>
  <c r="P57" i="15" s="1"/>
  <c r="E19" i="1"/>
  <c r="E23" i="1"/>
  <c r="P71" i="15" s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E68" i="1"/>
  <c r="E75" i="1"/>
  <c r="E79" i="1"/>
  <c r="P119" i="15" s="1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Q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57" i="15"/>
  <c r="Q33" i="15"/>
  <c r="P33" i="15"/>
  <c r="A33" i="15"/>
  <c r="A55" i="15"/>
  <c r="Q34" i="15"/>
  <c r="C62" i="1"/>
  <c r="Q54" i="15" s="1"/>
  <c r="C60" i="1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F70" i="5"/>
  <c r="E70" i="5"/>
  <c r="D70" i="5"/>
  <c r="C70" i="5"/>
  <c r="C70" i="4"/>
  <c r="Q37" i="18"/>
  <c r="D70" i="4"/>
  <c r="C68" i="4"/>
  <c r="Q36" i="18" s="1"/>
  <c r="D68" i="4"/>
  <c r="R36" i="18" s="1"/>
  <c r="C64" i="4"/>
  <c r="D64" i="4"/>
  <c r="C63" i="4"/>
  <c r="D63" i="4"/>
  <c r="D72" i="4" s="1"/>
  <c r="D74" i="4" s="1"/>
  <c r="R39" i="18" s="1"/>
  <c r="C48" i="4"/>
  <c r="Q26" i="18"/>
  <c r="C55" i="4"/>
  <c r="D55" i="4"/>
  <c r="R31" i="18" s="1"/>
  <c r="C53" i="4"/>
  <c r="Q30" i="18" s="1"/>
  <c r="D53" i="4"/>
  <c r="D48" i="4"/>
  <c r="R26" i="18" s="1"/>
  <c r="C49" i="4"/>
  <c r="D49" i="4"/>
  <c r="C29" i="4"/>
  <c r="Q15" i="18"/>
  <c r="D29" i="4"/>
  <c r="C40" i="4"/>
  <c r="Q22" i="18" s="1"/>
  <c r="D40" i="4"/>
  <c r="R22" i="18" s="1"/>
  <c r="C37" i="4"/>
  <c r="C44" i="4"/>
  <c r="D37" i="4"/>
  <c r="C17" i="4"/>
  <c r="C13" i="4"/>
  <c r="Q6" i="18"/>
  <c r="D13" i="4"/>
  <c r="R6" i="18"/>
  <c r="W4" i="17"/>
  <c r="S17" i="16"/>
  <c r="T17" i="16"/>
  <c r="T15" i="16"/>
  <c r="V14" i="16"/>
  <c r="C13" i="2"/>
  <c r="Q8" i="16" s="1"/>
  <c r="D13" i="2"/>
  <c r="R8" i="16" s="1"/>
  <c r="E13" i="2"/>
  <c r="S8" i="16" s="1"/>
  <c r="F13" i="2"/>
  <c r="T8" i="16" s="1"/>
  <c r="G13" i="2"/>
  <c r="U8" i="16" s="1"/>
  <c r="G9" i="2"/>
  <c r="G8" i="2" s="1"/>
  <c r="H13" i="2"/>
  <c r="V8" i="16"/>
  <c r="B13" i="2"/>
  <c r="P8" i="16" s="1"/>
  <c r="C9" i="2"/>
  <c r="Q4" i="16" s="1"/>
  <c r="D9" i="2"/>
  <c r="R4" i="16"/>
  <c r="E9" i="2"/>
  <c r="S4" i="16" s="1"/>
  <c r="F9" i="2"/>
  <c r="F8" i="2" s="1"/>
  <c r="T4" i="16"/>
  <c r="H9" i="2"/>
  <c r="V4" i="16" s="1"/>
  <c r="B9" i="2"/>
  <c r="P4" i="16" s="1"/>
  <c r="R27" i="18"/>
  <c r="R32" i="18"/>
  <c r="Q9" i="18"/>
  <c r="Q27" i="18"/>
  <c r="Q32" i="18"/>
  <c r="R19" i="18"/>
  <c r="R15" i="18"/>
  <c r="Q31" i="18"/>
  <c r="R33" i="18"/>
  <c r="R37" i="18"/>
  <c r="Q19" i="18"/>
  <c r="R30" i="18"/>
  <c r="Q33" i="18"/>
  <c r="D44" i="4"/>
  <c r="H8" i="2"/>
  <c r="H20" i="2" s="1"/>
  <c r="V13" i="16" s="1"/>
  <c r="F47" i="1"/>
  <c r="Q67" i="15"/>
  <c r="U2" i="25"/>
  <c r="S14" i="16"/>
  <c r="D103" i="7"/>
  <c r="R4" i="25" s="1"/>
  <c r="S2" i="25"/>
  <c r="F6" i="10"/>
  <c r="F5" i="13"/>
  <c r="C6" i="10"/>
  <c r="G6" i="10"/>
  <c r="E5" i="12"/>
  <c r="A2" i="10"/>
  <c r="A2" i="11"/>
  <c r="A2" i="7"/>
  <c r="A2" i="2"/>
  <c r="A2" i="9"/>
  <c r="A2" i="5"/>
  <c r="A2" i="1"/>
  <c r="A2" i="6"/>
  <c r="A2" i="4"/>
  <c r="A2" i="8"/>
  <c r="A2" i="3"/>
  <c r="A2" i="14"/>
  <c r="P2" i="25"/>
  <c r="U3" i="17"/>
  <c r="W3" i="17"/>
  <c r="R2" i="25"/>
  <c r="B74" i="4"/>
  <c r="P39" i="18"/>
  <c r="P38" i="18"/>
  <c r="B21" i="9"/>
  <c r="P13" i="27"/>
  <c r="T20" i="27"/>
  <c r="T9" i="27"/>
  <c r="R9" i="27"/>
  <c r="B9" i="9"/>
  <c r="P2" i="27" s="1"/>
  <c r="D33" i="9"/>
  <c r="R24" i="27" s="1"/>
  <c r="F33" i="9"/>
  <c r="T24" i="27" s="1"/>
  <c r="G43" i="8"/>
  <c r="U35" i="26" s="1"/>
  <c r="U63" i="26"/>
  <c r="P63" i="26"/>
  <c r="F43" i="8"/>
  <c r="E43" i="8"/>
  <c r="D43" i="8"/>
  <c r="C43" i="8"/>
  <c r="T45" i="26"/>
  <c r="G37" i="8"/>
  <c r="U30" i="26"/>
  <c r="U23" i="26"/>
  <c r="G19" i="8"/>
  <c r="U12" i="26" s="1"/>
  <c r="F9" i="8"/>
  <c r="T2" i="26" s="1"/>
  <c r="E9" i="8"/>
  <c r="S2" i="26" s="1"/>
  <c r="D9" i="8"/>
  <c r="R2" i="26" s="1"/>
  <c r="C9" i="8"/>
  <c r="Q2" i="26" s="1"/>
  <c r="B9" i="8"/>
  <c r="B77" i="8" s="1"/>
  <c r="P68" i="26" s="1"/>
  <c r="B103" i="7"/>
  <c r="P4" i="25" s="1"/>
  <c r="C103" i="7"/>
  <c r="Q4" i="25" s="1"/>
  <c r="F103" i="7"/>
  <c r="T4" i="25"/>
  <c r="G103" i="7"/>
  <c r="U4" i="25" s="1"/>
  <c r="F84" i="6"/>
  <c r="T76" i="24" s="1"/>
  <c r="E84" i="6"/>
  <c r="S76" i="24" s="1"/>
  <c r="D84" i="6"/>
  <c r="R76" i="24" s="1"/>
  <c r="C84" i="6"/>
  <c r="Q76" i="24" s="1"/>
  <c r="B84" i="6"/>
  <c r="P76" i="24" s="1"/>
  <c r="R85" i="24"/>
  <c r="G85" i="6"/>
  <c r="U80" i="24"/>
  <c r="G62" i="6"/>
  <c r="U55" i="24" s="1"/>
  <c r="U56" i="24"/>
  <c r="D9" i="6"/>
  <c r="F9" i="6"/>
  <c r="E9" i="6"/>
  <c r="B9" i="6"/>
  <c r="P2" i="24" s="1"/>
  <c r="S11" i="24"/>
  <c r="G18" i="6"/>
  <c r="U11" i="24" s="1"/>
  <c r="C9" i="6"/>
  <c r="Q2" i="24" s="1"/>
  <c r="G10" i="6"/>
  <c r="U3" i="24" s="1"/>
  <c r="E103" i="7"/>
  <c r="S4" i="25" s="1"/>
  <c r="Q42" i="15"/>
  <c r="P34" i="20"/>
  <c r="B70" i="5"/>
  <c r="C11" i="4"/>
  <c r="Q25" i="18"/>
  <c r="B11" i="4"/>
  <c r="P25" i="18"/>
  <c r="V3" i="16"/>
  <c r="C57" i="4"/>
  <c r="C59" i="4" s="1"/>
  <c r="E8" i="2"/>
  <c r="S3" i="16" s="1"/>
  <c r="P19" i="18"/>
  <c r="P22" i="20"/>
  <c r="U37" i="20"/>
  <c r="G65" i="5"/>
  <c r="S2" i="24"/>
  <c r="T35" i="26"/>
  <c r="F77" i="8"/>
  <c r="T68" i="26" s="1"/>
  <c r="S35" i="26"/>
  <c r="R35" i="26"/>
  <c r="Q35" i="26"/>
  <c r="S3" i="25"/>
  <c r="U3" i="25"/>
  <c r="S45" i="26"/>
  <c r="Q45" i="26"/>
  <c r="T12" i="26"/>
  <c r="R12" i="26"/>
  <c r="P20" i="27"/>
  <c r="G21" i="9"/>
  <c r="U20" i="27"/>
  <c r="E21" i="9"/>
  <c r="S20" i="27"/>
  <c r="C21" i="9"/>
  <c r="Q20" i="27"/>
  <c r="G9" i="9"/>
  <c r="U2" i="27" s="1"/>
  <c r="U9" i="27"/>
  <c r="E9" i="9"/>
  <c r="S2" i="27" s="1"/>
  <c r="S9" i="27"/>
  <c r="C9" i="9"/>
  <c r="Q2" i="27" s="1"/>
  <c r="Q9" i="27"/>
  <c r="U2" i="31"/>
  <c r="B32" i="10"/>
  <c r="P23" i="28" s="1"/>
  <c r="G32" i="10"/>
  <c r="U23" i="28" s="1"/>
  <c r="F32" i="10"/>
  <c r="T23" i="28" s="1"/>
  <c r="E32" i="10"/>
  <c r="S23" i="28" s="1"/>
  <c r="D32" i="10"/>
  <c r="R23" i="28" s="1"/>
  <c r="C32" i="10"/>
  <c r="Q23" i="28" s="1"/>
  <c r="T2" i="29"/>
  <c r="R2" i="29"/>
  <c r="B33" i="9"/>
  <c r="P24" i="27" s="1"/>
  <c r="D77" i="8"/>
  <c r="R68" i="26" s="1"/>
  <c r="G9" i="8"/>
  <c r="G77" i="8" s="1"/>
  <c r="U68" i="26" s="1"/>
  <c r="C77" i="8"/>
  <c r="Q68" i="26" s="1"/>
  <c r="E77" i="8"/>
  <c r="S68" i="26" s="1"/>
  <c r="D159" i="6"/>
  <c r="R150" i="24" s="1"/>
  <c r="C159" i="6"/>
  <c r="Q150" i="24" s="1"/>
  <c r="T2" i="24"/>
  <c r="R2" i="24"/>
  <c r="G9" i="6"/>
  <c r="E33" i="9"/>
  <c r="S24" i="27" s="1"/>
  <c r="S13" i="27"/>
  <c r="U56" i="20"/>
  <c r="E20" i="2"/>
  <c r="S13" i="16" s="1"/>
  <c r="P5" i="18"/>
  <c r="B8" i="4"/>
  <c r="Q5" i="18"/>
  <c r="C8" i="4"/>
  <c r="U2" i="26"/>
  <c r="Q2" i="18"/>
  <c r="C21" i="4"/>
  <c r="Q12" i="18" s="1"/>
  <c r="B21" i="4"/>
  <c r="P2" i="18"/>
  <c r="P12" i="18"/>
  <c r="B23" i="4"/>
  <c r="B25" i="4" s="1"/>
  <c r="P13" i="18"/>
  <c r="I20" i="3" l="1"/>
  <c r="W5" i="17" s="1"/>
  <c r="V3" i="17"/>
  <c r="K14" i="3"/>
  <c r="Y4" i="17" s="1"/>
  <c r="S4" i="17"/>
  <c r="K8" i="3"/>
  <c r="Y3" i="17" s="1"/>
  <c r="E47" i="1"/>
  <c r="E59" i="1" s="1"/>
  <c r="B62" i="1"/>
  <c r="P54" i="15" s="1"/>
  <c r="D8" i="2"/>
  <c r="T3" i="16"/>
  <c r="F20" i="2"/>
  <c r="T13" i="16" s="1"/>
  <c r="U3" i="16"/>
  <c r="G20" i="2"/>
  <c r="U13" i="16" s="1"/>
  <c r="U4" i="16"/>
  <c r="F79" i="1"/>
  <c r="Q119" i="15" s="1"/>
  <c r="F59" i="1"/>
  <c r="Q104" i="15" s="1"/>
  <c r="Q95" i="15"/>
  <c r="C33" i="9"/>
  <c r="Q24" i="27" s="1"/>
  <c r="G33" i="9"/>
  <c r="U24" i="27" s="1"/>
  <c r="B159" i="6"/>
  <c r="P150" i="24" s="1"/>
  <c r="E159" i="6"/>
  <c r="S150" i="24" s="1"/>
  <c r="F159" i="6"/>
  <c r="T150" i="24" s="1"/>
  <c r="B33" i="4"/>
  <c r="P18" i="18" s="1"/>
  <c r="P14" i="18"/>
  <c r="C23" i="4"/>
  <c r="U2" i="24"/>
  <c r="U13" i="27"/>
  <c r="Q13" i="27"/>
  <c r="P2" i="26"/>
  <c r="G84" i="6"/>
  <c r="U76" i="24" s="1"/>
  <c r="U77" i="24"/>
  <c r="R38" i="18"/>
  <c r="D11" i="4"/>
  <c r="R25" i="18"/>
  <c r="P95" i="15"/>
  <c r="C8" i="2"/>
  <c r="C72" i="4"/>
  <c r="B8" i="2"/>
  <c r="D57" i="4"/>
  <c r="D59" i="4" s="1"/>
  <c r="P67" i="15"/>
  <c r="P27" i="18"/>
  <c r="J20" i="3"/>
  <c r="X5" i="17" s="1"/>
  <c r="E6" i="1"/>
  <c r="U10" i="20"/>
  <c r="G41" i="5"/>
  <c r="K20" i="3" l="1"/>
  <c r="Y5" i="17" s="1"/>
  <c r="P42" i="15"/>
  <c r="D20" i="2"/>
  <c r="R13" i="16" s="1"/>
  <c r="R3" i="16"/>
  <c r="F81" i="1"/>
  <c r="Q120" i="15" s="1"/>
  <c r="B20" i="2"/>
  <c r="P13" i="16" s="1"/>
  <c r="P3" i="16"/>
  <c r="C20" i="2"/>
  <c r="Q13" i="16" s="1"/>
  <c r="Q3" i="16"/>
  <c r="D8" i="4"/>
  <c r="R5" i="18"/>
  <c r="Q13" i="18"/>
  <c r="C25" i="4"/>
  <c r="G42" i="5"/>
  <c r="U35" i="20" s="1"/>
  <c r="U34" i="20"/>
  <c r="G70" i="5"/>
  <c r="C74" i="4"/>
  <c r="Q39" i="18" s="1"/>
  <c r="Q38" i="18"/>
  <c r="E81" i="1"/>
  <c r="P120" i="15" s="1"/>
  <c r="P104" i="15"/>
  <c r="G159" i="6"/>
  <c r="U150" i="24" s="1"/>
  <c r="C33" i="4" l="1"/>
  <c r="Q18" i="18" s="1"/>
  <c r="Q14" i="18"/>
  <c r="R2" i="18"/>
  <c r="D21" i="4"/>
  <c r="R12" i="18" l="1"/>
  <c r="D23" i="4"/>
  <c r="D25" i="4" l="1"/>
  <c r="R13" i="18"/>
  <c r="D33" i="4" l="1"/>
  <c r="R18" i="18" s="1"/>
  <c r="R14" i="18"/>
</calcChain>
</file>

<file path=xl/sharedStrings.xml><?xml version="1.0" encoding="utf-8"?>
<sst xmlns="http://schemas.openxmlformats.org/spreadsheetml/2006/main" count="4317" uniqueCount="3342">
  <si>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</si>
  <si>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</si>
  <si>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</si>
  <si>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</si>
  <si>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</si>
  <si>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</si>
  <si>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</si>
  <si>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</si>
  <si>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</si>
  <si>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</si>
  <si>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</si>
  <si>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</si>
  <si>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</si>
  <si>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</si>
  <si>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</si>
  <si>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</si>
  <si>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</si>
  <si>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</si>
  <si>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</si>
  <si>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</si>
  <si>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</si>
  <si>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</si>
  <si>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</si>
  <si>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</si>
  <si>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</si>
  <si>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</si>
  <si>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</si>
  <si>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</si>
  <si>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</si>
  <si>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</si>
  <si>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</si>
  <si>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</si>
  <si>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</si>
  <si>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</si>
  <si>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</si>
  <si>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</si>
  <si>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</si>
  <si>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</si>
  <si>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</si>
  <si>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</si>
  <si>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</si>
  <si>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</si>
  <si>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</si>
  <si>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</si>
  <si>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</si>
  <si>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</si>
  <si>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</si>
  <si>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</si>
  <si>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</si>
  <si>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</si>
  <si>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</si>
  <si>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</si>
  <si>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</si>
  <si>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</si>
  <si>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</si>
  <si>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</si>
  <si>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</si>
  <si>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</si>
  <si>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</si>
  <si>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</si>
  <si>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</si>
  <si>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</si>
  <si>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</si>
  <si>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</si>
  <si>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</si>
  <si>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</si>
  <si>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</si>
  <si>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</si>
  <si>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</si>
  <si>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</si>
  <si>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</si>
  <si>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</si>
  <si>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</si>
  <si>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</si>
  <si>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</si>
  <si>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</si>
  <si>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</si>
  <si>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</si>
  <si>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</si>
  <si>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</si>
  <si>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</si>
  <si>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</si>
  <si>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</si>
  <si>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</si>
  <si>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</si>
  <si>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</si>
  <si>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</si>
  <si>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</si>
  <si>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</si>
  <si>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</si>
  <si>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</si>
  <si>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</si>
  <si>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</si>
  <si>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</si>
  <si>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</si>
  <si>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</si>
  <si>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</si>
  <si>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</si>
  <si>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</si>
  <si>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</si>
  <si>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</si>
  <si>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</si>
  <si>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</si>
  <si>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</si>
  <si>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</si>
  <si>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</si>
  <si>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</si>
  <si>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</si>
  <si>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</si>
  <si>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</si>
  <si>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</si>
  <si>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</si>
  <si>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</si>
  <si>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</si>
  <si>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</si>
  <si>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</si>
  <si>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</si>
  <si>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</si>
  <si>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</si>
  <si>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</si>
  <si>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</si>
  <si>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</si>
  <si>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</si>
  <si>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</si>
  <si>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</si>
  <si>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</si>
  <si>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</si>
  <si>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</si>
  <si>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</si>
  <si>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</si>
  <si>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</si>
  <si>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</si>
  <si>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</si>
  <si>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</si>
  <si>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</si>
  <si>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</si>
  <si>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</si>
  <si>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</si>
  <si>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</si>
  <si>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</si>
  <si>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</si>
  <si>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</si>
  <si>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</si>
  <si>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</si>
  <si>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</si>
  <si>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</si>
  <si>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</si>
  <si>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</si>
  <si>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</si>
  <si>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</si>
  <si>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</si>
  <si>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</si>
  <si>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</si>
  <si>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</si>
  <si>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</si>
  <si>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</si>
  <si>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</si>
  <si>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</si>
  <si>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</si>
  <si>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</si>
  <si>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</si>
  <si>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</si>
  <si>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</si>
  <si>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</si>
  <si>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</si>
  <si>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</si>
  <si>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</si>
  <si>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</si>
  <si>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</si>
  <si>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</si>
  <si>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</si>
  <si>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</si>
  <si>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</si>
  <si>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</si>
  <si>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</si>
  <si>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</si>
  <si>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</si>
  <si>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</si>
  <si>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</si>
  <si>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</si>
  <si>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</si>
  <si>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</si>
  <si>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</si>
  <si>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</si>
  <si>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</si>
  <si>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</si>
  <si>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</si>
  <si>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</si>
  <si>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</si>
  <si>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</si>
  <si>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</si>
  <si>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</si>
  <si>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</si>
  <si>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</si>
  <si>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</si>
  <si>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</si>
  <si>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</si>
  <si>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</si>
  <si>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</si>
  <si>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</si>
  <si>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</si>
  <si>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</si>
  <si>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</si>
  <si>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</si>
  <si>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</si>
  <si>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</si>
  <si>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</si>
  <si>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</si>
  <si>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</si>
  <si>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</si>
  <si>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</si>
  <si>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</si>
  <si>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</si>
  <si>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</si>
  <si>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</si>
  <si>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</si>
  <si>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</si>
  <si>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</si>
  <si>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</si>
  <si>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</si>
  <si>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</si>
  <si>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</si>
  <si>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</si>
  <si>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</si>
  <si>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</si>
  <si>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</si>
  <si>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</si>
  <si>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</si>
  <si>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</si>
  <si>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</si>
  <si>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</si>
  <si>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</si>
  <si>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</si>
  <si>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</si>
  <si>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</si>
  <si>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</si>
  <si>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</si>
  <si>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</si>
  <si>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</si>
  <si>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</si>
  <si>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</si>
  <si>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</si>
  <si>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</si>
  <si>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</si>
  <si>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</si>
  <si>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</si>
  <si>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</si>
  <si>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</si>
  <si>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</si>
  <si>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</si>
  <si>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</si>
  <si>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</si>
  <si>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</si>
  <si>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</si>
  <si>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</si>
  <si>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</si>
  <si>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</si>
  <si>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</si>
  <si>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</si>
  <si>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</si>
  <si>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</si>
  <si>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</si>
  <si>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</si>
  <si>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</si>
  <si>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</si>
  <si>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</si>
  <si>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</si>
  <si>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</si>
  <si>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</si>
  <si>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</si>
  <si>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</si>
  <si>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</si>
  <si>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</si>
  <si>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</si>
  <si>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</si>
  <si>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</si>
  <si>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</si>
  <si>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</si>
  <si>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</si>
  <si>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</si>
  <si>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</si>
  <si>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</si>
  <si>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</si>
  <si>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</si>
  <si>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</si>
  <si>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</si>
  <si>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</si>
  <si>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</si>
  <si>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</si>
  <si>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</si>
  <si>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</si>
  <si>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</si>
  <si>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</si>
  <si>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</si>
  <si>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</si>
  <si>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</si>
  <si>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</si>
  <si>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</si>
  <si>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</si>
  <si>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</si>
  <si>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</si>
  <si>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</si>
  <si>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</si>
  <si>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</si>
  <si>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</si>
  <si>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</si>
  <si>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</si>
  <si>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</si>
  <si>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</si>
  <si>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</si>
  <si>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</si>
  <si>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</si>
  <si>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</si>
  <si>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</si>
  <si>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</si>
  <si>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</si>
  <si>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</si>
  <si>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</si>
  <si>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</si>
  <si>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</si>
  <si>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</si>
  <si>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</si>
  <si>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</si>
  <si>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</si>
  <si>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</si>
  <si>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</si>
  <si>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</si>
  <si>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</si>
  <si>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</si>
  <si>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</si>
  <si>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</si>
  <si>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</si>
  <si>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</si>
  <si>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</si>
  <si>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</si>
  <si>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</si>
  <si>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</si>
  <si>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</si>
  <si>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</si>
  <si>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</si>
  <si>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</si>
  <si>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</si>
  <si>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</si>
  <si>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</si>
  <si>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</si>
  <si>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</si>
  <si>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</si>
  <si>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</si>
  <si>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</si>
  <si>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</si>
  <si>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</si>
  <si>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</si>
  <si>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</si>
  <si>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</si>
  <si>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</si>
  <si>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</si>
  <si>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</si>
  <si>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</si>
  <si>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</si>
  <si>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</si>
  <si>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</si>
  <si>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</si>
  <si>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</si>
  <si>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</si>
  <si>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</si>
  <si>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</si>
  <si>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</si>
  <si>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</si>
  <si>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</si>
  <si>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</si>
  <si>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</si>
  <si>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</si>
  <si>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</si>
  <si>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</si>
  <si>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</si>
  <si>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</si>
  <si>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</si>
  <si>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</si>
  <si>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</si>
  <si>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</si>
  <si>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</si>
  <si>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</si>
  <si>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</si>
  <si>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</si>
  <si>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</si>
  <si>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</si>
  <si>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</si>
  <si>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</si>
  <si>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</si>
  <si>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</si>
  <si>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</si>
  <si>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</si>
  <si>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</si>
  <si>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</si>
  <si>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</si>
  <si>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</si>
  <si>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</si>
  <si>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</si>
  <si>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</si>
  <si>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</si>
  <si>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</si>
  <si>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</si>
  <si>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</si>
  <si>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</si>
  <si>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</si>
  <si>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</si>
  <si>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</si>
  <si>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</si>
  <si>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</si>
  <si>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</si>
  <si>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</si>
  <si>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</si>
  <si>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</si>
  <si>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</si>
  <si>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</si>
  <si>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</si>
  <si>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</si>
  <si>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</si>
  <si>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</si>
  <si>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</si>
  <si>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</si>
  <si>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</si>
  <si>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</si>
  <si>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</si>
  <si>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</si>
  <si>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</si>
  <si>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</si>
  <si>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</si>
  <si>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</si>
  <si>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</si>
  <si>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</si>
  <si>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</si>
  <si>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</si>
  <si>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</si>
  <si>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</si>
  <si>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</si>
  <si>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</si>
  <si>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</si>
  <si>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</si>
  <si>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</si>
  <si>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</si>
  <si>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</si>
  <si>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</si>
  <si>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</si>
  <si>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</si>
  <si>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</si>
  <si>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</si>
  <si>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</si>
  <si>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</si>
  <si>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</si>
  <si>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</si>
  <si>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</si>
  <si>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</si>
  <si>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</si>
  <si>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</si>
  <si>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</si>
  <si>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</si>
  <si>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</si>
  <si>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</si>
  <si>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</si>
  <si>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</si>
  <si>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</si>
  <si>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</si>
  <si>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</si>
  <si>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</si>
  <si>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</si>
  <si>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</si>
  <si>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</si>
  <si>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</si>
  <si>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</si>
  <si>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</si>
  <si>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</si>
  <si>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</si>
  <si>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</si>
  <si>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</si>
  <si>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</si>
  <si>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</si>
  <si>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</si>
  <si>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</si>
  <si>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</si>
  <si>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</si>
  <si>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</si>
  <si>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</si>
  <si>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</si>
  <si>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</si>
  <si>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</si>
  <si>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</si>
  <si>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</si>
  <si>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</si>
  <si>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</si>
  <si>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</si>
  <si>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</si>
  <si>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</si>
  <si>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</si>
  <si>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</si>
  <si>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</si>
  <si>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</si>
  <si>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</si>
  <si>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</si>
  <si>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</si>
  <si>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</si>
  <si>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</si>
  <si>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</si>
  <si>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</si>
  <si>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</si>
  <si>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</si>
  <si>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</si>
  <si>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</si>
  <si>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</si>
  <si>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</si>
  <si>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</si>
  <si>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</si>
  <si>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</si>
  <si>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</si>
  <si>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</si>
  <si>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</si>
  <si>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</si>
  <si>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</si>
  <si>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</si>
  <si>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</si>
  <si>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</si>
  <si>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</si>
  <si>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</si>
  <si>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</si>
  <si>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</si>
  <si>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</si>
  <si>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</si>
  <si>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</si>
  <si>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</si>
  <si>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</si>
  <si>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</si>
  <si>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</si>
  <si>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</si>
  <si>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</si>
  <si>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</si>
  <si>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</si>
  <si>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</si>
  <si>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</si>
  <si>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</si>
  <si>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</si>
  <si>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</si>
  <si>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</si>
  <si>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</si>
  <si>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</si>
  <si>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</si>
  <si>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</si>
  <si>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</si>
  <si>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</si>
  <si>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</si>
  <si>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</si>
  <si>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</si>
  <si>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</si>
  <si>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</si>
  <si>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</si>
  <si>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</si>
  <si>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</si>
  <si>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</si>
  <si>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</si>
  <si>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</si>
  <si>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</si>
  <si>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</si>
  <si>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</si>
  <si>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</si>
  <si>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</si>
  <si>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</si>
  <si>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</si>
  <si>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</si>
  <si>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</si>
  <si>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</si>
  <si>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</si>
  <si>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</si>
  <si>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</si>
  <si>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</si>
  <si>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</si>
  <si>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</si>
  <si>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</si>
  <si>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</si>
  <si>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</si>
  <si>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</si>
  <si>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</si>
  <si>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</si>
  <si>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</si>
  <si>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</si>
  <si>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</si>
  <si>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</si>
  <si>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</si>
  <si>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</si>
  <si>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</si>
  <si>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</si>
  <si>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</si>
  <si>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</si>
  <si>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</si>
  <si>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</si>
  <si>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</si>
  <si>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</si>
  <si>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</si>
  <si>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</si>
  <si>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</si>
  <si>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</si>
  <si>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</si>
  <si>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</si>
  <si>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</si>
  <si>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</si>
  <si>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</si>
  <si>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</si>
  <si>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</si>
  <si>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</si>
  <si>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</si>
  <si>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</si>
  <si>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</si>
  <si>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</si>
  <si>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</si>
  <si>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</si>
  <si>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</si>
  <si>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</si>
  <si>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</si>
  <si>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</si>
  <si>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</si>
  <si>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</si>
  <si>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</si>
  <si>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</si>
  <si>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</si>
  <si>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</si>
  <si>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</si>
  <si>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</si>
  <si>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</si>
  <si>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</si>
  <si>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</si>
  <si>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</si>
  <si>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</si>
  <si>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</si>
  <si>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</si>
  <si>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</si>
  <si>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</si>
  <si>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</si>
  <si>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</si>
  <si>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</si>
  <si>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</si>
  <si>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</si>
  <si>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</si>
  <si>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</si>
  <si>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</si>
  <si>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</si>
  <si>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</si>
  <si>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</si>
  <si>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</si>
  <si>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</si>
  <si>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</si>
  <si>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</si>
  <si>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</si>
  <si>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</si>
  <si>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</si>
  <si>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</si>
  <si>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</si>
  <si>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</si>
  <si>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</si>
  <si>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</si>
  <si>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</si>
  <si>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</si>
  <si>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</si>
  <si>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</si>
  <si>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</si>
  <si>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</si>
  <si>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</si>
  <si>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</si>
  <si>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</si>
  <si>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</si>
  <si>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</si>
  <si>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</si>
  <si>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</si>
  <si>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</si>
  <si>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</si>
  <si>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</si>
  <si>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</si>
  <si>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</si>
  <si>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</si>
  <si>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</si>
  <si>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</si>
  <si>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</si>
  <si>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</si>
  <si>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</si>
  <si>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</si>
  <si>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</si>
  <si>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</si>
  <si>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</si>
  <si>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</si>
  <si>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</si>
  <si>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</si>
  <si>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</si>
  <si>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</si>
  <si>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</si>
  <si>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</si>
  <si>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</si>
  <si>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</si>
  <si>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</si>
  <si>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</si>
  <si>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</si>
  <si>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</si>
  <si>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</si>
  <si>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</si>
  <si>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</si>
  <si>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</si>
  <si>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</si>
  <si>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</si>
  <si>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</si>
  <si>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</si>
  <si>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</si>
  <si>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</si>
  <si>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</si>
  <si>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</si>
  <si>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</si>
  <si>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</si>
  <si>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</si>
  <si>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</si>
  <si>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</si>
  <si>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</si>
  <si>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</si>
  <si>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</si>
  <si>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</si>
  <si>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</si>
  <si>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</si>
  <si>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</si>
  <si>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</si>
  <si>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</si>
  <si>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</si>
  <si>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</si>
  <si>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</si>
  <si>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</si>
  <si>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</si>
  <si>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</si>
  <si>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</si>
  <si>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</si>
  <si>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</si>
  <si>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</si>
  <si>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</si>
  <si>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</si>
  <si>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</si>
  <si>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</si>
  <si>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</si>
  <si>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</si>
  <si>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</si>
  <si>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</si>
  <si>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</si>
  <si>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</si>
  <si>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</si>
  <si>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</si>
  <si>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</si>
  <si>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</si>
  <si>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</si>
  <si>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</si>
  <si>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</si>
  <si>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</si>
  <si>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</si>
  <si>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</si>
  <si>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</si>
  <si>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</si>
  <si>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</si>
  <si>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</si>
  <si>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</si>
  <si>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</si>
  <si>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</si>
  <si>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</si>
  <si>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</si>
  <si>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</si>
  <si>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</si>
  <si>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</si>
  <si>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</si>
  <si>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</si>
  <si>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</si>
  <si>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</si>
  <si>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</si>
  <si>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</si>
  <si>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</si>
  <si>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</si>
  <si>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</si>
  <si>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</si>
  <si>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</si>
  <si>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</si>
  <si>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</si>
  <si>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</si>
  <si>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</si>
  <si>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</si>
  <si>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</si>
  <si>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</si>
  <si>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</si>
  <si>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</si>
  <si>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</si>
  <si>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</si>
  <si>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</si>
  <si>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</si>
  <si>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</si>
  <si>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</si>
  <si>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</si>
  <si>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</si>
  <si>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</si>
  <si>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</si>
  <si>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</si>
  <si>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</si>
  <si>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</si>
  <si>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</si>
  <si>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</si>
  <si>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</si>
  <si>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</si>
  <si>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</si>
  <si>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</si>
  <si>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</si>
  <si>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</si>
  <si>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</si>
  <si>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</si>
  <si>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</si>
  <si>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</si>
  <si>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</si>
  <si>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</si>
  <si>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</si>
  <si>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</si>
  <si>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</si>
  <si>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</si>
  <si>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</si>
  <si>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</si>
  <si>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</si>
  <si>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</si>
  <si>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</si>
  <si>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</si>
  <si>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</si>
  <si>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</si>
  <si>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</si>
  <si>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</si>
  <si>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</si>
  <si>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</si>
  <si>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</si>
  <si>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</si>
  <si>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</si>
  <si>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</si>
  <si>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</si>
  <si>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</si>
  <si>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</si>
  <si>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</si>
  <si>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</si>
  <si>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</si>
  <si>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</si>
  <si>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</si>
  <si>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</si>
  <si>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</si>
  <si>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</si>
  <si>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</si>
  <si>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</si>
  <si>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</si>
  <si>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</si>
  <si>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</si>
  <si>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</si>
  <si>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</si>
  <si>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</si>
  <si>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</si>
  <si>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</si>
  <si>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</si>
  <si>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</si>
  <si>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</si>
  <si>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</si>
  <si>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</si>
  <si>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</si>
  <si>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</si>
  <si>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</si>
  <si>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</si>
  <si>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</si>
  <si>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</si>
  <si>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</si>
  <si>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</si>
  <si>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</si>
  <si>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</si>
  <si>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</si>
  <si>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</si>
  <si>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</si>
  <si>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</si>
  <si>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</si>
  <si>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</si>
  <si>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</si>
  <si>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</si>
  <si>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</si>
  <si>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</si>
  <si>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</si>
  <si>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</si>
  <si>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</si>
  <si>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</si>
  <si>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</si>
  <si>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</si>
  <si>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</si>
  <si>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</si>
  <si>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</si>
  <si>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</si>
  <si>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</si>
  <si>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</si>
  <si>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</si>
  <si>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</si>
  <si>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</si>
  <si>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</si>
  <si>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</si>
  <si>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</si>
  <si>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</si>
  <si>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</si>
  <si>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</si>
  <si>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</si>
  <si>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</si>
  <si>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</si>
  <si>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</si>
  <si>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</si>
  <si>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</si>
  <si>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</si>
  <si>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</si>
  <si>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</si>
  <si>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</si>
  <si>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</si>
  <si>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</si>
  <si>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</si>
  <si>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</si>
  <si>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</si>
  <si>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</si>
  <si>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</si>
  <si>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</si>
  <si>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</si>
  <si>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</si>
  <si>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</si>
  <si>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</si>
  <si>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</si>
  <si>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</si>
  <si>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</si>
  <si>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</si>
  <si>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</si>
  <si>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</si>
  <si>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</si>
  <si>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</si>
  <si>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</si>
  <si>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</si>
  <si>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</si>
  <si>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</si>
  <si>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</si>
  <si>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</si>
  <si>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</si>
  <si>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</si>
  <si>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</si>
  <si>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</si>
  <si>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</si>
  <si>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</si>
  <si>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</si>
  <si>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</si>
  <si>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</si>
  <si>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</si>
  <si>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</si>
  <si>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</si>
  <si>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</si>
  <si>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</si>
  <si>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</si>
  <si>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</si>
  <si>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</si>
  <si>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</si>
  <si>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</si>
  <si>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</si>
  <si>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</si>
  <si>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</si>
  <si>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</si>
  <si>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</si>
  <si>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</si>
  <si>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</si>
  <si>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</si>
  <si>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</si>
  <si>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</si>
  <si>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</si>
  <si>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</si>
  <si>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</si>
  <si>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</si>
  <si>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</si>
  <si>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</si>
  <si>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</si>
  <si>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</si>
  <si>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</si>
  <si>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</si>
  <si>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</si>
  <si>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</si>
  <si>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</si>
  <si>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</si>
  <si>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</si>
  <si>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</si>
  <si>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</si>
  <si>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</si>
  <si>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</si>
  <si>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</si>
  <si>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</si>
  <si>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</si>
  <si>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</si>
  <si>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</si>
  <si>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</si>
  <si>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</si>
  <si>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</si>
  <si>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</si>
  <si>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</si>
  <si>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</si>
  <si>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</si>
  <si>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</si>
  <si>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</si>
  <si>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</si>
  <si>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</si>
  <si>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</si>
  <si>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</si>
  <si>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</si>
  <si>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</si>
  <si>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</si>
  <si>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</si>
  <si>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</si>
  <si>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</si>
  <si>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</si>
  <si>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</si>
  <si>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</si>
  <si>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</si>
  <si>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</si>
  <si>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</si>
  <si>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</si>
  <si>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</si>
  <si>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</si>
  <si>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</si>
  <si>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</si>
  <si>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</si>
  <si>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</si>
  <si>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</si>
  <si>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</si>
  <si>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</si>
  <si>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</si>
  <si>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</si>
  <si>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</si>
  <si>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</si>
  <si>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</si>
  <si>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</si>
  <si>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</si>
  <si>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</si>
  <si>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</si>
  <si>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</si>
  <si>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</si>
  <si>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</si>
  <si>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</si>
  <si>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</si>
  <si>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</si>
  <si>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</si>
  <si>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</si>
  <si>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</si>
  <si>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</si>
  <si>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</si>
  <si>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</si>
  <si>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</si>
  <si>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</si>
  <si>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</si>
  <si>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</si>
  <si>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</si>
  <si>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</si>
  <si>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</si>
  <si>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</si>
  <si>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</si>
  <si>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</si>
  <si>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</si>
  <si>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</si>
  <si>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</si>
  <si>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</si>
  <si>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</si>
  <si>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</si>
  <si>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</si>
  <si>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</si>
  <si>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</si>
  <si>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</si>
  <si>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</si>
  <si>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</si>
  <si>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</si>
  <si>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</si>
  <si>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</si>
  <si>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</si>
  <si>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</si>
  <si>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</si>
  <si>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</si>
  <si>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</si>
  <si>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</si>
  <si>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</si>
  <si>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</si>
  <si>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</si>
  <si>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</si>
  <si>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</si>
  <si>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</si>
  <si>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</si>
  <si>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</si>
  <si>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</si>
  <si>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</si>
  <si>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</si>
  <si>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</si>
  <si>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</si>
  <si>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</si>
  <si>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</si>
  <si>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</si>
  <si>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</si>
  <si>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</si>
  <si>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</si>
  <si>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</si>
  <si>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</si>
  <si>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</si>
  <si>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</si>
  <si>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</si>
  <si>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</si>
  <si>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</si>
  <si>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</si>
  <si>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</si>
  <si>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</si>
  <si>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</si>
  <si>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</si>
  <si>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</si>
  <si>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</si>
  <si>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</si>
  <si>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</si>
  <si>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</si>
  <si>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</si>
  <si>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</si>
  <si>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</si>
  <si>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</si>
  <si>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</si>
  <si>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</si>
  <si>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</si>
  <si>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</si>
  <si>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</si>
  <si>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</si>
  <si>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</si>
  <si>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</si>
  <si>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</si>
  <si>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</si>
  <si>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</si>
  <si>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</si>
  <si>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</si>
  <si>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</si>
  <si>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</si>
  <si>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</si>
  <si>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</si>
  <si>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</si>
  <si>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</si>
  <si>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</si>
  <si>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</si>
  <si>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</si>
  <si>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</si>
  <si>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</si>
  <si>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</si>
  <si>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</si>
  <si>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</si>
  <si>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</si>
  <si>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</si>
  <si>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</si>
  <si>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</si>
  <si>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</si>
  <si>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</si>
  <si>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</si>
  <si>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</si>
  <si>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</si>
  <si>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</si>
  <si>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</si>
  <si>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</si>
  <si>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</si>
  <si>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</si>
  <si>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</si>
  <si>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</si>
  <si>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</si>
  <si>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</si>
  <si>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</si>
  <si>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</si>
  <si>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</si>
  <si>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</si>
  <si>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</si>
  <si>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</si>
  <si>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</si>
  <si>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</si>
  <si>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</si>
  <si>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</si>
  <si>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</si>
  <si>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</si>
  <si>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</si>
  <si>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</si>
  <si>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</si>
  <si>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</si>
  <si>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</si>
  <si>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</si>
  <si>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</si>
  <si>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</si>
  <si>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</si>
  <si>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</si>
  <si>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</si>
  <si>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</si>
  <si>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</si>
  <si>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</si>
  <si>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</si>
  <si>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</si>
  <si>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</si>
  <si>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</si>
  <si>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</si>
  <si>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</si>
  <si>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</si>
  <si>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</si>
  <si>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</si>
  <si>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</si>
  <si>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</si>
  <si>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</si>
  <si>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</si>
  <si>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</si>
  <si>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</si>
  <si>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</si>
  <si>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</si>
  <si>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</si>
  <si>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</si>
  <si>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</si>
  <si>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</si>
  <si>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</si>
  <si>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</si>
  <si>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</si>
  <si>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</si>
  <si>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</si>
  <si>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</si>
  <si>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</si>
  <si>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</si>
  <si>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</si>
  <si>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</si>
  <si>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</si>
  <si>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</si>
  <si>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</si>
  <si>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</si>
  <si>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</si>
  <si>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</si>
  <si>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</si>
  <si>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</si>
  <si>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</si>
  <si>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</si>
  <si>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</si>
  <si>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</si>
  <si>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</si>
  <si>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</si>
  <si>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</si>
  <si>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</si>
  <si>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</si>
  <si>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</si>
  <si>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</si>
  <si>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</si>
  <si>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</si>
  <si>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</si>
  <si>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</si>
  <si>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</si>
  <si>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</si>
  <si>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</si>
  <si>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</si>
  <si>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</si>
  <si>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</si>
  <si>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</si>
  <si>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</si>
  <si>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</si>
  <si>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</si>
  <si>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</si>
  <si>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</si>
  <si>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</si>
  <si>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</si>
  <si>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</si>
  <si>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</si>
  <si>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</si>
  <si>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</si>
  <si>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</si>
  <si>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</si>
  <si>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</si>
  <si>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</si>
  <si>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</si>
  <si>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</si>
  <si>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</si>
  <si>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</si>
  <si>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</si>
  <si>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</si>
  <si>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</si>
  <si>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</si>
  <si>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</si>
  <si>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</si>
  <si>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</si>
  <si>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</si>
  <si>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</si>
  <si>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</si>
  <si>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</si>
  <si>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</si>
  <si>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</si>
  <si>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</si>
  <si>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</si>
  <si>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</si>
  <si>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</si>
  <si>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</si>
  <si>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</si>
  <si>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</si>
  <si>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</si>
  <si>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</si>
  <si>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</si>
  <si>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</si>
  <si>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</si>
  <si>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</si>
  <si>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</si>
  <si>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</si>
  <si>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</si>
  <si>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</si>
  <si>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</si>
  <si>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</si>
  <si>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</si>
  <si>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</si>
  <si>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</si>
  <si>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</si>
  <si>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</si>
  <si>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</si>
  <si>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</si>
  <si>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</si>
  <si>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</si>
  <si>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</si>
  <si>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</si>
  <si>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</si>
  <si>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</si>
  <si>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</si>
  <si>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</si>
  <si>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</si>
  <si>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</si>
  <si>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</si>
  <si>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</si>
  <si>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</si>
  <si>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</si>
  <si>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</si>
  <si>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</si>
  <si>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</si>
  <si>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</si>
  <si>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</si>
  <si>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</si>
  <si>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</si>
  <si>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</si>
  <si>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</si>
  <si>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</si>
  <si>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</si>
  <si>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</si>
  <si>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</si>
  <si>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</si>
  <si>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</si>
  <si>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</si>
  <si>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</si>
  <si>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</si>
  <si>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</si>
  <si>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</si>
  <si>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</si>
  <si>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</si>
  <si>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</si>
  <si>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</si>
  <si>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</si>
  <si>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</si>
  <si>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</si>
  <si>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</si>
  <si>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</si>
  <si>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</si>
  <si>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</si>
  <si>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</si>
  <si>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</si>
  <si>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</si>
  <si>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</si>
  <si>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</si>
  <si>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</si>
  <si>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</si>
  <si>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</si>
  <si>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</si>
  <si>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</si>
  <si>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</si>
  <si>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</si>
  <si>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</si>
  <si>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</si>
  <si>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</si>
  <si>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</si>
  <si>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</si>
  <si>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</si>
  <si>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</si>
  <si>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</si>
  <si>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</si>
  <si>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</si>
  <si>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</si>
  <si>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</si>
  <si>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</si>
  <si>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</si>
  <si>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</si>
  <si>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</si>
  <si>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</si>
  <si>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</si>
  <si>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</si>
  <si>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</si>
  <si>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</si>
  <si>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</si>
  <si>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</si>
  <si>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</si>
  <si>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</si>
  <si>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</si>
  <si>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</si>
  <si>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</si>
  <si>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</si>
  <si>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</si>
  <si>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</si>
  <si>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</si>
  <si>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</si>
  <si>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</si>
  <si>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</si>
  <si>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</si>
  <si>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</si>
  <si>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</si>
  <si>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</si>
  <si>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</si>
  <si>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</si>
  <si>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</si>
  <si>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</si>
  <si>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</si>
  <si>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</si>
  <si>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</si>
  <si>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</si>
  <si>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</si>
  <si>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</si>
  <si>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</si>
  <si>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</si>
  <si>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</si>
  <si>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</si>
  <si>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</si>
  <si>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</si>
  <si>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</si>
  <si>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</si>
  <si>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</si>
  <si>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</si>
  <si>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</si>
  <si>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</si>
  <si>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</si>
  <si>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</si>
  <si>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</si>
  <si>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</si>
  <si>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</si>
  <si>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</si>
  <si>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</si>
  <si>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</si>
  <si>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</si>
  <si>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</si>
  <si>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</si>
  <si>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</si>
  <si>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</si>
  <si>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</si>
  <si>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</si>
  <si>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</si>
  <si>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</si>
  <si>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</si>
  <si>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</si>
  <si>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</si>
  <si>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</si>
  <si>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</si>
  <si>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</si>
  <si>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</si>
  <si>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</si>
  <si>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</si>
  <si>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</si>
  <si>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</si>
  <si>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</si>
  <si>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</si>
  <si>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</si>
  <si>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</si>
  <si>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</si>
  <si>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</si>
  <si>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</si>
  <si>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</si>
  <si>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</si>
  <si>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</si>
  <si>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</si>
  <si>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</si>
  <si>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</si>
  <si>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</si>
  <si>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</si>
  <si>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</si>
  <si>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</si>
  <si>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</si>
  <si>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</si>
  <si>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</si>
  <si>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</si>
  <si>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</si>
  <si>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</si>
  <si>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</si>
  <si>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</si>
  <si>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</si>
  <si>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</si>
  <si>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</si>
  <si>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</si>
  <si>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</si>
  <si>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</si>
  <si>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</si>
  <si>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</si>
  <si>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</si>
  <si>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</si>
  <si>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</si>
  <si>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</si>
  <si>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</si>
  <si>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</si>
  <si>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</si>
  <si>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</si>
  <si>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</si>
  <si>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</si>
  <si>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</si>
  <si>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</si>
  <si>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</si>
  <si>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</si>
  <si>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</si>
  <si>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</si>
  <si>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</si>
  <si>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</si>
  <si>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</si>
  <si>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</si>
  <si>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</si>
  <si>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</si>
  <si>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</si>
  <si>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</si>
  <si>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</si>
  <si>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</si>
  <si>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</si>
  <si>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</si>
  <si>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</si>
  <si>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</si>
  <si>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</si>
  <si>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</si>
  <si>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</si>
  <si>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</si>
  <si>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</si>
  <si>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</si>
  <si>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</si>
  <si>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</si>
  <si>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</si>
  <si>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</si>
  <si>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</si>
  <si>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</si>
  <si>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</si>
  <si>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</si>
  <si>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</si>
  <si>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</si>
  <si>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</si>
  <si>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</si>
  <si>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</si>
  <si>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</si>
  <si>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</si>
  <si>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</si>
  <si>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</si>
  <si>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</si>
  <si>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</si>
  <si>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</si>
  <si>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</si>
  <si>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</si>
  <si>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</si>
  <si>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</si>
  <si>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</si>
  <si>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</si>
  <si>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</si>
  <si>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</si>
  <si>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</si>
  <si>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</si>
  <si>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</si>
  <si>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</si>
  <si>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</si>
  <si>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</si>
  <si>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</si>
  <si>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</si>
  <si>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</si>
  <si>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</si>
  <si>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</si>
  <si>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</si>
  <si>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</si>
  <si>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</si>
  <si>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</si>
  <si>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</si>
  <si>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</si>
  <si>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</si>
  <si>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</si>
  <si>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</si>
  <si>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</si>
  <si>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</si>
  <si>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</si>
  <si>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</si>
  <si>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</si>
  <si>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</si>
  <si>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</si>
  <si>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</si>
  <si>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</si>
  <si>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</si>
  <si>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</si>
  <si>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</si>
  <si>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</si>
  <si>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</si>
  <si>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</si>
  <si>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</si>
  <si>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</si>
  <si>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</si>
  <si>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</si>
  <si>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</si>
  <si>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</si>
  <si>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</si>
  <si>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</si>
  <si>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</si>
  <si>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</si>
  <si>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</si>
  <si>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</si>
  <si>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</si>
  <si>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</si>
  <si>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</si>
  <si>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</si>
  <si>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</si>
  <si>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</si>
  <si>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</si>
  <si>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</si>
  <si>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</si>
  <si>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</si>
  <si>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</si>
  <si>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</si>
  <si>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</si>
  <si>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</si>
  <si>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</si>
  <si>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</si>
  <si>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</si>
  <si>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</si>
  <si>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</si>
  <si>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</si>
  <si>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</si>
  <si>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</si>
  <si>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</si>
  <si>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</si>
  <si>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</si>
  <si>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</si>
  <si>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</si>
  <si>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</si>
  <si>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</si>
  <si>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</si>
  <si>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</si>
  <si>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</si>
  <si>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</si>
  <si>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</si>
  <si>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</si>
  <si>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</si>
  <si>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</si>
  <si>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</si>
  <si>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</si>
  <si>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</si>
  <si>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</si>
  <si>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</si>
  <si>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</si>
  <si>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</si>
  <si>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</si>
  <si>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</si>
  <si>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</si>
  <si>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</si>
  <si>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</si>
  <si>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</si>
  <si>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</si>
  <si>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</si>
  <si>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</si>
  <si>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</si>
  <si>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</si>
  <si>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</si>
  <si>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</si>
  <si>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</si>
  <si>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</si>
  <si>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</si>
  <si>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</si>
  <si>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</si>
  <si>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</si>
  <si>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</si>
  <si>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</si>
  <si>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</si>
  <si>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</si>
  <si>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</si>
  <si>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</si>
  <si>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</si>
  <si>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</si>
  <si>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</si>
  <si>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</si>
  <si>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</si>
  <si>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</si>
  <si>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</si>
  <si>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</si>
  <si>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</si>
  <si>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</si>
  <si>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</si>
  <si>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</si>
  <si>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</si>
  <si>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</si>
  <si>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</si>
  <si>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</si>
  <si>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</si>
  <si>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</si>
  <si>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</si>
  <si>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</si>
  <si>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</si>
  <si>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</si>
  <si>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</si>
  <si>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</si>
  <si>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</si>
  <si>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</si>
  <si>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</si>
  <si>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</si>
  <si>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</si>
  <si>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</si>
  <si>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</si>
  <si>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</si>
  <si>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</si>
  <si>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</si>
  <si>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</si>
  <si>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</si>
  <si>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</si>
  <si>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</si>
  <si>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</si>
  <si>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</si>
  <si>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</si>
  <si>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</si>
  <si>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</si>
  <si>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</si>
  <si>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</si>
  <si>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</si>
  <si>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</si>
  <si>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</si>
  <si>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</si>
  <si>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</si>
  <si>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</si>
  <si>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</si>
  <si>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</si>
  <si>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</si>
  <si>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</si>
  <si>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</si>
  <si>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</si>
  <si>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</si>
  <si>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</si>
  <si>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</si>
  <si>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</si>
  <si>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</si>
  <si>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</si>
  <si>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</si>
  <si>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</si>
  <si>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</si>
  <si>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</si>
  <si>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</si>
  <si>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</si>
  <si>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</si>
  <si>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</si>
  <si>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</si>
  <si>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</si>
  <si>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</si>
  <si>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</si>
  <si>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</si>
  <si>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</si>
  <si>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</si>
  <si>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</si>
  <si>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</si>
  <si>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</si>
  <si>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</si>
  <si>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</si>
  <si>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</si>
  <si>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</si>
  <si>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</si>
  <si>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</si>
  <si>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</si>
  <si>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</si>
  <si>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</si>
  <si>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</si>
  <si>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</si>
  <si>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</si>
  <si>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</si>
  <si>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</si>
  <si>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</si>
  <si>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</si>
  <si>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</si>
  <si>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</si>
  <si>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</si>
  <si>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</si>
  <si>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</si>
  <si>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</si>
  <si>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</si>
  <si>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</si>
  <si>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</si>
  <si>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</si>
  <si>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</si>
  <si>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</si>
  <si>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</si>
  <si>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</si>
  <si>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</si>
  <si>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</si>
  <si>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</si>
  <si>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</si>
  <si>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</si>
  <si>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</si>
  <si>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</si>
  <si>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</si>
  <si>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</si>
  <si>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</si>
  <si>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</si>
  <si>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</si>
  <si>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</si>
  <si>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</si>
  <si>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</si>
  <si>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</si>
  <si>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</si>
  <si>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</si>
  <si>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</si>
  <si>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</si>
  <si>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</si>
  <si>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</si>
  <si>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</si>
  <si>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</si>
  <si>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</si>
  <si>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</si>
  <si>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</si>
  <si>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</si>
  <si>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</si>
  <si>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</si>
  <si>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</si>
  <si>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</si>
  <si>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</si>
  <si>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</si>
  <si>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</si>
  <si>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</si>
  <si>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</si>
  <si>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</si>
  <si>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</si>
  <si>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</si>
  <si>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</si>
  <si>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</si>
  <si>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</si>
  <si>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</si>
  <si>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</si>
  <si>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</si>
  <si>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</si>
  <si>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</si>
  <si>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</si>
  <si>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</si>
  <si>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</si>
  <si>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</si>
  <si>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</si>
  <si>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</si>
  <si>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</si>
  <si>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</si>
  <si>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</si>
  <si>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</si>
  <si>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</si>
  <si>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</si>
  <si>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</si>
  <si>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</si>
  <si>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</si>
  <si>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</si>
  <si>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</si>
  <si>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</si>
  <si>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</si>
  <si>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</si>
  <si>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</si>
  <si>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</si>
  <si>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</si>
  <si>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</si>
  <si>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</si>
  <si>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</si>
  <si>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</si>
  <si>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</si>
  <si>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</si>
  <si>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</si>
  <si>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</si>
  <si>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</si>
  <si>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</si>
  <si>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</si>
  <si>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</si>
  <si>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</si>
  <si>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</si>
  <si>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</si>
  <si>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</si>
  <si>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</si>
  <si>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</si>
  <si>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</si>
  <si>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</si>
  <si>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</si>
  <si>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</si>
  <si>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</si>
  <si>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</si>
  <si>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</si>
  <si>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</si>
  <si>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</si>
  <si>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</si>
  <si>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</si>
  <si>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</si>
  <si>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</si>
  <si>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</si>
  <si>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</si>
  <si>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</si>
  <si>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</si>
  <si>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</si>
  <si>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</si>
  <si>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</si>
  <si>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</si>
  <si>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</si>
  <si>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</si>
  <si>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</si>
  <si>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</si>
  <si>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</si>
  <si>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</si>
  <si>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</si>
  <si>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</si>
  <si>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</si>
  <si>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</si>
  <si>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</si>
  <si>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</si>
  <si>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</si>
  <si>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</si>
  <si>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</si>
  <si>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</si>
  <si>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</si>
  <si>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</si>
  <si>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</si>
  <si>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</si>
  <si>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</si>
  <si>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</si>
  <si>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</si>
  <si>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</si>
  <si>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</si>
  <si>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</si>
  <si>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</si>
  <si>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</si>
  <si>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</si>
  <si>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</si>
  <si>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</si>
  <si>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</si>
  <si>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</si>
  <si>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</si>
  <si>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</si>
  <si>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</si>
  <si>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</si>
  <si>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</si>
  <si>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</si>
  <si>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</si>
  <si>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</si>
  <si>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</si>
  <si>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</si>
  <si>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</si>
  <si>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</si>
  <si>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</si>
  <si>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</si>
  <si>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</si>
  <si>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</si>
  <si>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</si>
  <si>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</si>
  <si>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</si>
  <si>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</si>
  <si>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</si>
  <si>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</si>
  <si>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</si>
  <si>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</si>
  <si>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</si>
  <si>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</si>
  <si>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</si>
  <si>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</si>
  <si>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</si>
  <si>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</si>
  <si>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</si>
  <si>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</si>
  <si>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</si>
  <si>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</si>
  <si>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</si>
  <si>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</si>
  <si>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</si>
  <si>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</si>
  <si>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</si>
  <si>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</si>
  <si>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</si>
  <si>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</si>
  <si>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</si>
  <si>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</si>
  <si>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</si>
  <si>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</si>
  <si>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</si>
  <si>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</si>
  <si>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</si>
  <si>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</si>
  <si>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</si>
  <si>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</si>
  <si>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</si>
  <si>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</si>
  <si>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</si>
  <si>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</si>
  <si>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</si>
  <si>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</si>
  <si>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</si>
  <si>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</si>
  <si>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</si>
  <si>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</si>
  <si>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</si>
  <si>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</si>
  <si>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</si>
  <si>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</si>
  <si>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</si>
  <si>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</si>
  <si>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</si>
  <si>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</si>
  <si>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</si>
  <si>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</si>
  <si>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</si>
  <si>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</si>
  <si>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</si>
  <si>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</si>
  <si>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</si>
  <si>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</si>
  <si>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</si>
  <si>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</si>
  <si>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</si>
  <si>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</si>
  <si>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</si>
  <si>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</si>
  <si>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</si>
  <si>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</si>
  <si>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</si>
  <si>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</si>
  <si>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</si>
  <si>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</si>
  <si>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</si>
  <si>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</si>
  <si>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</si>
  <si>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</si>
  <si>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</si>
  <si>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</si>
  <si>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</si>
  <si>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</si>
  <si>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</si>
  <si>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</si>
  <si>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</si>
  <si>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</si>
  <si>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</si>
  <si>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</si>
  <si>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</si>
  <si>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</si>
  <si>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</si>
  <si>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</si>
  <si>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</si>
  <si>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</si>
  <si>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</si>
  <si>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</si>
  <si>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</si>
  <si>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</si>
  <si>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</si>
  <si>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</si>
  <si>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</si>
  <si>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</si>
  <si>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</si>
  <si>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</si>
  <si>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</si>
  <si>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</si>
  <si>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</si>
  <si>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</si>
  <si>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</si>
  <si>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</si>
  <si>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</si>
  <si>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</si>
  <si>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</si>
  <si>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</si>
  <si>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</si>
  <si>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</si>
  <si>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</si>
  <si>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</si>
  <si>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</si>
  <si>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</si>
  <si>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</si>
  <si>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</si>
  <si>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</si>
  <si>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</si>
  <si>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</si>
  <si>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</si>
  <si>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</si>
  <si>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</si>
  <si>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</si>
  <si>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</si>
  <si>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</si>
  <si>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</si>
  <si>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</si>
  <si>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</si>
  <si>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</si>
  <si>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</si>
  <si>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</si>
  <si>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</si>
  <si>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</si>
  <si>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</si>
  <si>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</si>
  <si>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</si>
  <si>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</si>
  <si>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</si>
  <si>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</si>
  <si>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</si>
  <si>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</si>
  <si>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</si>
  <si>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</si>
  <si>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</si>
  <si>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</si>
  <si>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</si>
  <si>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</si>
  <si>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</si>
  <si>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</si>
  <si>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</si>
  <si>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</si>
  <si>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</si>
  <si>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</si>
  <si>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</si>
  <si>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</si>
  <si>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</si>
  <si>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</si>
  <si>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</si>
  <si>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</si>
  <si>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</si>
  <si>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</si>
  <si>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</si>
  <si>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</si>
  <si>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</si>
  <si>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</si>
  <si>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</si>
  <si>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</si>
  <si>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</si>
  <si>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</si>
  <si>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</si>
  <si>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</si>
  <si>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</si>
  <si>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</si>
  <si>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</si>
  <si>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</si>
  <si>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</si>
  <si>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</si>
  <si>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</si>
  <si>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</si>
  <si>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</si>
  <si>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</si>
  <si>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</si>
  <si>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</si>
  <si>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</si>
  <si>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</si>
  <si>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</si>
  <si>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</si>
  <si>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</si>
  <si>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</si>
  <si>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</si>
  <si>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</si>
  <si>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</si>
  <si>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</si>
  <si>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</si>
  <si>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</si>
  <si>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</si>
  <si>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</si>
  <si>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</si>
  <si>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</si>
  <si>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</si>
  <si>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</si>
  <si>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</si>
  <si>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</si>
  <si>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</si>
  <si>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</si>
  <si>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</si>
  <si>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</si>
  <si>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</si>
  <si>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</si>
  <si>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</si>
  <si>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</si>
  <si>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</si>
  <si>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</si>
  <si>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</si>
  <si>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</si>
  <si>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</si>
  <si>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</si>
  <si>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</si>
  <si>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</si>
  <si>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</si>
  <si>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</si>
  <si>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</si>
  <si>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</si>
  <si>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</si>
  <si>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</si>
  <si>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</si>
  <si>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</si>
  <si>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</si>
  <si>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</si>
  <si>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</si>
  <si>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</si>
  <si>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</si>
  <si>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</si>
  <si>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</si>
  <si>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</si>
  <si>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</si>
  <si>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</si>
  <si>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</si>
  <si>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</si>
  <si>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</si>
  <si>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</si>
  <si>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</si>
  <si>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</si>
  <si>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</si>
  <si>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</si>
  <si>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</si>
  <si>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</si>
  <si>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</si>
  <si>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</si>
  <si>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</si>
  <si>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</si>
  <si>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</si>
  <si>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</si>
  <si>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</si>
  <si>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</si>
  <si>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</si>
  <si>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</si>
  <si>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</si>
  <si>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</si>
  <si>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</si>
  <si>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</si>
  <si>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</si>
  <si>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</si>
  <si>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</si>
  <si>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</si>
  <si>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</si>
  <si>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</si>
  <si>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</si>
  <si>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</si>
  <si>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</si>
  <si>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</si>
  <si>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</si>
  <si>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</si>
  <si>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</si>
  <si>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</si>
  <si>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</si>
  <si>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</si>
  <si>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</si>
  <si>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</si>
  <si>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</si>
  <si>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</si>
  <si>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</si>
  <si>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</si>
  <si>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</si>
  <si>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</si>
  <si>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</si>
  <si>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</si>
  <si>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</si>
  <si>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</si>
  <si>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</si>
  <si>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</si>
  <si>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</si>
  <si>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</si>
  <si>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</si>
  <si>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</si>
  <si>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</si>
  <si>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</si>
  <si>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</si>
  <si>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</si>
  <si>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</si>
  <si>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</si>
  <si>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</si>
  <si>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</si>
  <si>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</si>
  <si>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</si>
  <si>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</si>
  <si>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</si>
  <si>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</si>
  <si>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</si>
  <si>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</si>
  <si>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</si>
  <si>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</si>
  <si>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</si>
  <si>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</si>
  <si>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</si>
  <si>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</si>
  <si>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</si>
  <si>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</si>
  <si>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</si>
  <si>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</si>
  <si>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</si>
  <si>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</si>
  <si>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</si>
  <si>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</si>
  <si>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</si>
  <si>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</si>
  <si>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</si>
  <si>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</si>
  <si>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</si>
  <si>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</si>
  <si>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</si>
  <si>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</si>
  <si>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</si>
  <si>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</si>
  <si>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</si>
  <si>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</si>
  <si>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</si>
  <si>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</si>
  <si>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</si>
  <si>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</si>
  <si>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</si>
  <si>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</si>
  <si>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</si>
  <si>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</si>
  <si>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</si>
  <si>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</si>
  <si>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</si>
  <si>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</si>
  <si>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</si>
  <si>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</si>
  <si>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</si>
  <si>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</si>
  <si>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</si>
  <si>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</si>
  <si>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</si>
  <si>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</si>
  <si>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</si>
  <si>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</si>
  <si>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</si>
  <si>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</si>
  <si>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</si>
  <si>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</si>
  <si>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</si>
  <si>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</si>
  <si>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</si>
  <si>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</si>
  <si>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</si>
  <si>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</si>
  <si>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</si>
  <si>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</si>
  <si>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</si>
  <si>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</si>
  <si>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</si>
  <si>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</si>
  <si>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</si>
  <si>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</si>
  <si>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</si>
  <si>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</si>
  <si>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</si>
  <si>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</si>
  <si>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</si>
  <si>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</si>
  <si>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</si>
  <si>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</si>
  <si>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</si>
  <si>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</si>
  <si>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</si>
  <si>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</si>
  <si>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</si>
  <si>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</si>
  <si>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</si>
  <si>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</si>
  <si>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</si>
  <si>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</si>
  <si>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</si>
  <si>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</si>
  <si>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</si>
  <si>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</si>
  <si>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</si>
  <si>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</si>
  <si>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</si>
  <si>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</si>
  <si>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</si>
  <si>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</si>
  <si>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</si>
  <si>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</si>
  <si>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</si>
  <si>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</si>
  <si>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</si>
  <si>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</si>
  <si>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</si>
  <si>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</si>
  <si>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</si>
  <si>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</si>
  <si>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</si>
  <si>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</si>
  <si>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</si>
  <si>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</si>
  <si>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</si>
  <si>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</si>
  <si>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</si>
  <si>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</si>
  <si>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</si>
  <si>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</si>
  <si>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</si>
  <si>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</si>
  <si>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</si>
  <si>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</si>
  <si>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</si>
  <si>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</si>
  <si>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</si>
  <si>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</si>
  <si>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</si>
  <si>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</si>
  <si>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</si>
  <si>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</si>
  <si>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</si>
  <si>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</si>
  <si>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</si>
  <si>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</si>
  <si>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</si>
  <si>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</si>
  <si>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</si>
  <si>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</si>
  <si>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</si>
  <si>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</si>
  <si>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</si>
  <si>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</si>
  <si>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</si>
  <si>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</si>
  <si>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</si>
  <si>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</si>
  <si>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</si>
  <si>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</si>
  <si>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</si>
  <si>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</si>
  <si>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</si>
  <si>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</si>
  <si>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</si>
  <si>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</si>
  <si>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</si>
  <si>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</si>
  <si>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</si>
  <si>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</si>
  <si>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</si>
  <si>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</si>
  <si>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</si>
  <si>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</si>
  <si>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</si>
  <si>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</si>
  <si>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</si>
  <si>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</si>
  <si>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</si>
  <si>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</si>
  <si>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</si>
  <si>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</si>
  <si>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</si>
  <si>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</si>
  <si>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</si>
  <si>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</si>
  <si>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</si>
  <si>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</si>
  <si>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</si>
  <si>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</si>
  <si>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</si>
  <si>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</si>
  <si>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</si>
  <si>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</si>
  <si>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</si>
  <si>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</si>
  <si>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</si>
  <si>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</si>
  <si>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</si>
  <si>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</si>
  <si>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</si>
  <si>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</si>
  <si>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</si>
  <si>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</si>
  <si>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</si>
  <si>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</si>
  <si>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</si>
  <si>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</si>
  <si>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</si>
  <si>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</si>
  <si>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</si>
  <si>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</si>
  <si>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</si>
  <si>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</si>
  <si>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</si>
  <si>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</si>
  <si>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</si>
  <si>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</si>
  <si>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</si>
  <si>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</si>
  <si>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</si>
  <si>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</si>
  <si>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</si>
  <si>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</si>
  <si>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</si>
  <si>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</si>
  <si>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</si>
  <si>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</si>
  <si>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</si>
  <si>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</si>
  <si>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</si>
  <si>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</si>
  <si>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</si>
  <si>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</si>
  <si>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</si>
  <si>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</si>
  <si>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</si>
  <si>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</si>
  <si>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</si>
  <si>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</si>
  <si>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</si>
  <si>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</si>
  <si>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</si>
  <si>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</si>
  <si>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</si>
  <si>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</si>
  <si>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</si>
  <si>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</si>
  <si>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</si>
  <si>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</si>
  <si>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</si>
  <si>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</si>
  <si>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</si>
  <si>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</si>
  <si>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</si>
  <si>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</si>
  <si>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</si>
  <si>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</si>
  <si>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</si>
  <si>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</si>
  <si>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</si>
  <si>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</si>
  <si>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</si>
  <si>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</si>
  <si>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</si>
  <si>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</si>
  <si>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</si>
  <si>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</si>
  <si>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</si>
  <si>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</si>
  <si>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</si>
  <si>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</si>
  <si>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</si>
  <si>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</si>
  <si>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</si>
  <si>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</si>
  <si>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</si>
  <si>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</si>
  <si>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</si>
  <si>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</si>
  <si>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</si>
  <si>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</si>
  <si>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</si>
  <si>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</si>
  <si>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</si>
  <si>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</si>
  <si>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</si>
  <si>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</si>
  <si>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</si>
  <si>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</si>
  <si>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</si>
  <si>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</si>
  <si>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</si>
  <si>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</si>
  <si>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</si>
  <si>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</si>
  <si>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</si>
  <si>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</si>
  <si>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</si>
  <si>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</si>
  <si>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</si>
  <si>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</si>
  <si>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</si>
  <si>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</si>
  <si>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</si>
  <si>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</si>
  <si>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</si>
  <si>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</si>
  <si>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</si>
  <si>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</si>
  <si>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</si>
  <si>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</si>
  <si>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</si>
  <si>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</si>
  <si>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</si>
  <si>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</si>
  <si>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</si>
  <si>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</si>
  <si>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</si>
  <si>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</si>
  <si>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</si>
  <si>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</si>
  <si>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</si>
  <si>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</si>
  <si>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</si>
  <si>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</si>
  <si>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</si>
  <si>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</si>
  <si>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</si>
  <si>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</si>
  <si>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</si>
  <si>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</si>
  <si>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</si>
  <si>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</si>
  <si>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</si>
  <si>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</si>
  <si>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</si>
  <si>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</si>
  <si>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</si>
  <si>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</si>
  <si>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</si>
  <si>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</si>
  <si>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</si>
  <si>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</si>
  <si>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</si>
  <si>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</si>
  <si>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</si>
  <si>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</si>
  <si>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</si>
  <si>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</si>
  <si>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</si>
  <si>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</si>
  <si>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</si>
  <si>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</si>
  <si>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</si>
  <si>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</si>
  <si>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</si>
  <si>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</si>
  <si>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</si>
  <si>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</si>
  <si>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</si>
  <si>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</si>
  <si>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</si>
  <si>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</si>
  <si>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</si>
  <si>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</si>
  <si>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</si>
  <si>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</si>
  <si>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</si>
  <si>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</si>
  <si>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</si>
  <si>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</si>
  <si>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</si>
  <si>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</si>
  <si>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</si>
  <si>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</si>
  <si>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</si>
  <si>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</si>
  <si>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</si>
  <si>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</si>
  <si>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</si>
  <si>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</si>
  <si>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</si>
  <si>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</si>
  <si>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</si>
  <si>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</si>
  <si>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</si>
  <si>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</si>
  <si>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</si>
  <si>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</si>
  <si>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</si>
  <si>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</si>
  <si>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</si>
  <si>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</si>
  <si>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</si>
  <si>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</si>
  <si>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</si>
  <si>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</si>
  <si>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</si>
  <si>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</si>
  <si>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</si>
  <si>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</si>
  <si>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</si>
  <si>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</si>
  <si>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</si>
  <si>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</si>
  <si>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</si>
  <si>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</si>
  <si>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</si>
  <si>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</si>
  <si>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</si>
  <si>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</si>
  <si>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</si>
  <si>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</si>
  <si>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</si>
  <si>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</si>
  <si>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</si>
  <si>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</si>
  <si>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</si>
  <si>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</si>
  <si>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</si>
  <si>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</si>
  <si>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</si>
  <si>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</si>
  <si>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</si>
  <si>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</si>
  <si>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</si>
  <si>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</si>
  <si>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</si>
  <si>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</si>
  <si>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</si>
  <si>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</si>
  <si>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</si>
  <si>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</si>
  <si>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</si>
  <si>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</si>
  <si>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</si>
  <si>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</si>
  <si>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</si>
  <si>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</si>
  <si>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</si>
  <si>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</si>
  <si>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</si>
  <si>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</si>
  <si>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</si>
  <si>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</si>
  <si>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</si>
  <si>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</si>
  <si>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</si>
  <si>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</si>
  <si>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</si>
  <si>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</si>
  <si>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</si>
  <si>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</si>
  <si>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</si>
  <si>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</si>
  <si>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</si>
  <si>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</si>
  <si>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</si>
  <si>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</si>
  <si>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</si>
  <si>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</si>
  <si>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</si>
  <si>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</si>
  <si>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</si>
  <si>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</si>
  <si>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</si>
  <si>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</si>
  <si>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</si>
  <si>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</si>
  <si>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</si>
  <si>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</si>
  <si>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</si>
  <si>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</si>
  <si>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</si>
  <si>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</si>
  <si>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</si>
  <si>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</si>
  <si>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</si>
  <si>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</si>
  <si>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</si>
  <si>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</si>
  <si>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</si>
  <si>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</si>
  <si>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</si>
  <si>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</si>
  <si>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</si>
  <si>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</si>
  <si>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</si>
  <si>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</si>
  <si>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</si>
  <si>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</si>
  <si>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</si>
  <si>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</si>
  <si>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</si>
  <si>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</si>
  <si>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</si>
  <si>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</si>
  <si>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</si>
  <si>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</si>
  <si>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</si>
  <si>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</si>
  <si>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</si>
  <si>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</si>
  <si>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</si>
  <si>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</si>
  <si>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</si>
  <si>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</si>
  <si>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</si>
  <si>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</si>
  <si>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</si>
  <si>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</si>
  <si>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</si>
  <si>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</si>
  <si>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</si>
  <si>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</si>
  <si>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</si>
  <si>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</si>
  <si>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</si>
  <si>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</si>
  <si>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</si>
  <si>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</si>
  <si>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</si>
  <si>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</si>
  <si>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</si>
  <si>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</si>
  <si>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</si>
  <si>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</si>
  <si>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</si>
  <si>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</si>
  <si>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</si>
  <si>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</si>
  <si>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</si>
  <si>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</si>
  <si>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</si>
  <si>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</si>
  <si>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</si>
  <si>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</si>
  <si>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</si>
  <si>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</si>
  <si>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</si>
  <si>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</si>
  <si>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</si>
  <si>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</si>
  <si>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</si>
  <si>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</si>
  <si>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</si>
  <si>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</si>
  <si>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</si>
  <si>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</si>
  <si>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</si>
  <si>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</si>
  <si>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</si>
  <si>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</si>
  <si>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</si>
  <si>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</si>
  <si>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</si>
  <si>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</si>
  <si>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</si>
  <si>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</si>
  <si>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</si>
  <si>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</si>
  <si>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</si>
  <si>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</si>
  <si>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</si>
  <si>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</si>
  <si>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</si>
  <si>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</si>
  <si>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</si>
  <si>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</si>
  <si>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</si>
  <si>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</si>
  <si>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</si>
  <si>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</si>
  <si>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</si>
  <si>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</si>
  <si>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</si>
  <si>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</si>
  <si>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</si>
  <si>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</si>
  <si>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</si>
  <si>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</si>
  <si>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</si>
  <si>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</si>
  <si>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</si>
  <si>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</si>
  <si>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</si>
  <si>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</si>
  <si>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</si>
  <si>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</si>
  <si>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</si>
  <si>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</si>
  <si>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</si>
  <si>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</si>
  <si>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</si>
  <si>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</si>
  <si>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</si>
  <si>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</si>
  <si>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</si>
  <si>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</si>
  <si>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</si>
  <si>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</si>
  <si>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</si>
  <si>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</si>
  <si>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</si>
  <si>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</si>
  <si>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</si>
  <si>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</si>
  <si>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</si>
  <si>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</si>
  <si>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</si>
  <si>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</si>
  <si>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</si>
  <si>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</si>
  <si>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</si>
  <si>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</si>
  <si>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</si>
  <si>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</si>
  <si>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</si>
  <si>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</si>
  <si>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</si>
  <si>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</si>
  <si>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</si>
  <si>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</si>
  <si>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</si>
  <si>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</si>
  <si>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</si>
  <si>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</si>
  <si>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</si>
  <si>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</si>
  <si>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</si>
  <si>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</si>
  <si>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</si>
  <si>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</si>
  <si>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</si>
  <si>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</si>
  <si>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</si>
  <si>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</si>
  <si>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</si>
  <si>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</si>
  <si>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</si>
  <si>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</si>
  <si>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</si>
  <si>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</si>
  <si>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</si>
  <si>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</si>
  <si>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</si>
  <si>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</si>
  <si>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</si>
  <si>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</si>
  <si>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</si>
  <si>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</si>
  <si>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</si>
  <si>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</si>
  <si>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</si>
  <si>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</si>
  <si>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</si>
  <si>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</si>
  <si>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</si>
  <si>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</si>
  <si>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</si>
  <si>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</si>
  <si>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</si>
  <si>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</si>
  <si>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</si>
  <si>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</si>
  <si>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</si>
  <si>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</si>
  <si>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</si>
  <si>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</si>
  <si>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</si>
  <si>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</si>
  <si>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</si>
  <si>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</si>
  <si>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</si>
  <si>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</si>
  <si>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</si>
  <si>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</si>
  <si>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</si>
  <si>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</si>
  <si>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</si>
  <si>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</si>
  <si>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</si>
  <si>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</si>
  <si>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</si>
  <si>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</si>
  <si>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</si>
  <si>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</si>
  <si>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</si>
  <si>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</si>
  <si>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</si>
  <si>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</si>
  <si>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</si>
  <si>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</si>
  <si>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</si>
  <si>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</si>
  <si>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</si>
  <si>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</si>
  <si>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</si>
  <si>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</si>
  <si>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</si>
  <si>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</si>
  <si>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</si>
  <si>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</si>
  <si>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</si>
  <si>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</si>
  <si>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</si>
  <si>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</si>
  <si>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</si>
  <si>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</si>
  <si>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</si>
  <si>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</si>
  <si>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</si>
  <si>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</si>
  <si>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</si>
  <si>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</si>
  <si>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</si>
  <si>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</si>
  <si>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</si>
  <si>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</si>
  <si>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</si>
  <si>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</si>
  <si>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</si>
  <si>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</si>
  <si>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</si>
  <si>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</si>
  <si>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</si>
  <si>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</si>
  <si>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</si>
  <si>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</si>
  <si>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</si>
  <si>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</si>
  <si>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</si>
  <si>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</si>
  <si>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</si>
  <si>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</si>
  <si>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</si>
  <si>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</si>
  <si>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</si>
  <si>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</si>
  <si>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</si>
  <si>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</si>
  <si>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</si>
  <si>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</si>
  <si>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</si>
  <si>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</si>
  <si>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</si>
  <si>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</si>
  <si>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</si>
  <si>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</si>
  <si>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</si>
  <si>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</si>
  <si>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</si>
  <si>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</si>
  <si>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</si>
  <si>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</si>
  <si>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</si>
  <si>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</si>
  <si>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</si>
  <si>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</si>
  <si>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</si>
  <si>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</si>
  <si>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</si>
  <si>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</si>
  <si>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</si>
  <si>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</si>
  <si>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</si>
  <si>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</si>
  <si>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</si>
  <si>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</si>
  <si>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</si>
  <si>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</si>
  <si>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</si>
  <si>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</si>
  <si>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</si>
  <si>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</si>
  <si>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</si>
  <si>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</si>
  <si>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</si>
  <si>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</si>
  <si>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</si>
  <si>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</si>
  <si>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</si>
  <si>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</si>
  <si>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</si>
  <si>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</si>
  <si>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</si>
  <si>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</si>
  <si>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</si>
  <si>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</si>
  <si>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</si>
  <si>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</si>
  <si>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</si>
  <si>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</si>
  <si>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</si>
  <si>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</si>
  <si>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</si>
  <si>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</si>
  <si>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</si>
  <si>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</si>
  <si>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</si>
  <si>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</si>
  <si>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</si>
  <si>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</si>
  <si>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</si>
  <si>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</si>
  <si>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</si>
  <si>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</si>
  <si>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</si>
  <si>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</si>
  <si>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</si>
  <si>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</si>
  <si>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</si>
  <si>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</si>
  <si>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</si>
  <si>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</si>
  <si>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</si>
  <si>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</si>
  <si>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</si>
  <si>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</si>
  <si>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</si>
  <si>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</si>
  <si>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</si>
  <si>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</si>
  <si>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</si>
  <si>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</si>
  <si>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</si>
  <si>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</si>
  <si>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</si>
  <si>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</si>
  <si>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</si>
  <si>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</si>
  <si>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</si>
  <si>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</si>
  <si>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</si>
  <si>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</si>
  <si>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</si>
  <si>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</si>
  <si>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</si>
  <si>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</si>
  <si>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</si>
  <si>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</si>
  <si>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</si>
  <si>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</si>
  <si>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</si>
  <si>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</si>
  <si>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</si>
  <si>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</si>
  <si>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</si>
  <si>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</si>
  <si>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</si>
  <si>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</si>
  <si>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</si>
  <si>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</si>
  <si>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</si>
  <si>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</si>
  <si>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</si>
  <si>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</si>
  <si>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</si>
  <si>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</si>
  <si>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</si>
  <si>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</si>
  <si>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</si>
  <si>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</si>
  <si>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</si>
  <si>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</si>
  <si>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</si>
  <si>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</si>
  <si>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</si>
  <si>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</si>
  <si>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</si>
  <si>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</si>
  <si>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</si>
  <si>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</si>
  <si>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</si>
  <si>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</si>
  <si>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</si>
  <si>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</si>
  <si>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</si>
  <si>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</si>
  <si>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</si>
  <si>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</si>
  <si>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</si>
  <si>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</si>
  <si>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</si>
  <si>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</si>
  <si>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</si>
  <si>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</si>
  <si>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</si>
  <si>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</si>
  <si>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</si>
  <si>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</si>
  <si>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</si>
  <si>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</si>
  <si>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</si>
  <si>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</si>
  <si>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</si>
  <si>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</si>
  <si>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</si>
  <si>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</si>
  <si>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</si>
  <si>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</si>
  <si>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</si>
  <si>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</si>
  <si>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</si>
  <si>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</si>
  <si>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</si>
  <si>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</si>
  <si>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</si>
  <si>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</si>
  <si>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</si>
  <si>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</si>
  <si>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</si>
  <si>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</si>
  <si>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</si>
  <si>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</si>
  <si>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</si>
  <si>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</si>
  <si>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</si>
  <si>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</si>
  <si>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</si>
  <si>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</si>
  <si>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</si>
  <si>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</si>
  <si>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</si>
  <si>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</si>
  <si>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</si>
  <si>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</si>
  <si>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</si>
  <si>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</si>
  <si>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</si>
  <si>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</si>
  <si>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</si>
  <si>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</si>
  <si>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</si>
  <si>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</si>
  <si>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</si>
  <si>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</si>
  <si>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</si>
  <si>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</si>
  <si>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</si>
  <si>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</si>
  <si>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</si>
  <si>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</si>
  <si>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</si>
  <si>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</si>
  <si>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</si>
  <si>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</si>
  <si>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</si>
  <si>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</si>
  <si>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</si>
  <si>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</si>
  <si>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</si>
  <si>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</si>
  <si>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</si>
  <si>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</si>
  <si>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</si>
  <si>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</si>
  <si>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</si>
  <si>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</si>
  <si>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</si>
  <si>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</si>
  <si>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</si>
  <si>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</si>
  <si>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</si>
  <si>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</si>
  <si>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</si>
  <si>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</si>
  <si>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</si>
  <si>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</si>
  <si>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</si>
  <si>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</si>
  <si>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</si>
  <si>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</si>
  <si>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</si>
  <si>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</si>
  <si>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</si>
  <si>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</si>
  <si>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</si>
  <si>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</si>
  <si>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</si>
  <si>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</si>
  <si>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</si>
  <si>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</si>
  <si>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</si>
  <si>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</si>
  <si>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</si>
  <si>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</si>
  <si>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</si>
  <si>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</si>
  <si>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</si>
  <si>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</si>
  <si>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</si>
  <si>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</si>
  <si>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</si>
  <si>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</si>
  <si>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</si>
  <si>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</si>
  <si>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</si>
  <si>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</si>
  <si>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</si>
  <si>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</si>
  <si>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</si>
  <si>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</si>
  <si>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</si>
  <si>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</si>
  <si>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</si>
  <si>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</si>
  <si>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</si>
  <si>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</si>
  <si>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</si>
  <si>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</si>
  <si>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</si>
  <si>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</si>
  <si>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</si>
  <si>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</si>
  <si>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</si>
  <si>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</si>
  <si>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</si>
  <si>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</si>
  <si>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</si>
  <si>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</si>
  <si>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</si>
  <si>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</si>
  <si>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</si>
  <si>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</si>
  <si>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</si>
  <si>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</si>
  <si>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</si>
  <si>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</si>
  <si>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</si>
  <si>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</si>
  <si>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</si>
  <si>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</si>
  <si>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</si>
  <si>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</si>
  <si>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</si>
  <si>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</si>
  <si>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</si>
  <si>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</si>
  <si>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</si>
  <si>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</si>
  <si>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</si>
  <si>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</si>
  <si>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</si>
  <si>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</si>
  <si>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</si>
  <si>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</si>
  <si>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</si>
  <si>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</si>
  <si>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</si>
  <si>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</si>
  <si>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</si>
  <si>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</si>
  <si>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</si>
  <si>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</si>
  <si>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</si>
  <si>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</si>
  <si>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</si>
  <si>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DRENAJE ALCANTARILLADO Y SANEAMIENTO DEL MUNICIPIO DE IRAPUATO GTO</t>
  </si>
  <si>
    <t>Al 31 de diciembre de 2019 y al 30 de junio de 2020 (b)</t>
  </si>
  <si>
    <t>Del 1 de enero al 30 de junio de 2020 (b)</t>
  </si>
  <si>
    <t>CONSEJO DIRECTIVO</t>
  </si>
  <si>
    <t>CONTRALORIA INTERNA</t>
  </si>
  <si>
    <t>CONTABILIDAD</t>
  </si>
  <si>
    <t>TESORERIA</t>
  </si>
  <si>
    <t>FINANZAS Y CAJAS</t>
  </si>
  <si>
    <t>PRESUPUESTOS</t>
  </si>
  <si>
    <t>COORDINACION JURIDICA</t>
  </si>
  <si>
    <t>COORDINACION DE COMUNICACION SOCIAL</t>
  </si>
  <si>
    <t>DIRECCION GENERAL</t>
  </si>
  <si>
    <t>COORDINACION 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</si>
  <si>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</si>
  <si>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</si>
  <si>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</si>
  <si>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</si>
  <si>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</si>
  <si>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</si>
  <si>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</si>
  <si>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</si>
  <si>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</si>
  <si>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</si>
  <si>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</si>
  <si>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</si>
  <si>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</si>
  <si>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</si>
  <si>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</si>
  <si>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</si>
  <si>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</si>
  <si>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</si>
  <si>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REPARACION DE PAVIMENTOS</t>
  </si>
  <si>
    <t>OPERACION DE PIPAS</t>
  </si>
  <si>
    <t>MANTENIMIENTO DE DRENAJE</t>
  </si>
  <si>
    <t>OPTIMIZACION DE AGUA</t>
  </si>
  <si>
    <t>OPERACION Y MTTO  DE POZOS</t>
  </si>
  <si>
    <t>OPERACION Y MANTENIMIENTO DE CARCAMOS</t>
  </si>
  <si>
    <t>DRENAJE Y ALCANTARILLADO</t>
  </si>
  <si>
    <t>MEDICION OPERACION Y MTTO DE REDES</t>
  </si>
  <si>
    <t>OPERACIÓN DE REDES DE DISTRIBUCION</t>
  </si>
  <si>
    <t>GERENCIA DE INGENIERIA Y DISEÑO</t>
  </si>
  <si>
    <t>AREA DE PROYECTOS</t>
  </si>
  <si>
    <t>ADMINISTRACION DE OBRAS</t>
  </si>
  <si>
    <t>GERENCIA PTAR</t>
  </si>
  <si>
    <t>LABORATORIO Y DESCARGAS INDUSTRIALES PTAR</t>
  </si>
  <si>
    <t>OPERACIÓN DE LA PTAR</t>
  </si>
  <si>
    <t>MANTENIMIENTO ELECTROMECANICO PTAR</t>
  </si>
  <si>
    <t>OPERACION DE PLANTAS POTABILIZADORAS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</si>
</sst>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_0* #,##0.00;\-* #,##0.00_0;* &quot;0.00&quot;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19" fillId="0" borderId="0"/>
  </cellStyleXfs>
  <cellXfs count="20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15" fillId="0" borderId="13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3" xfId="0" applyFont="1" applyBorder="1" applyProtection="1">
      <protection locked="0"/>
    </xf>
    <xf numFmtId="43" fontId="18" fillId="0" borderId="0" xfId="0" applyNumberFormat="1" applyFont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43" fontId="20" fillId="0" borderId="0" xfId="21" applyFont="1" applyFill="1" applyBorder="1" applyProtection="1">
      <protection locked="0"/>
    </xf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21" fillId="0" borderId="0" xfId="22" applyNumberFormat="1" applyFont="1" applyFill="1" applyBorder="1" applyAlignment="1" applyProtection="1">
      <alignment vertical="top"/>
      <protection locked="0"/>
    </xf>
    <xf numFmtId="4" fontId="22" fillId="0" borderId="0" xfId="22" applyNumberFormat="1" applyFont="1" applyFill="1" applyBorder="1" applyAlignment="1" applyProtection="1">
      <alignment vertical="top"/>
      <protection locked="0"/>
    </xf>
    <xf numFmtId="165" fontId="23" fillId="5" borderId="25" xfId="0" applyNumberFormat="1" applyFont="1" applyFill="1" applyBorder="1" applyAlignment="1" applyProtection="1">
      <alignment horizontal="center" vertical="center"/>
      <protection locked="0"/>
    </xf>
  </cellXfs>
  <cellStyles count="2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Millares" xfId="21" builtinId="3"/>
    <cellStyle name="Millares 2" xf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tabSelected="1" zoomScale="80" zoomScaleNormal="80" zoomScalePageLayoutView="80" workbookViewId="0">
      <selection activeCell="B11" sqref="B11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53" t="s">
        <v>821</v>
      </c>
      <c r="B1" s="154"/>
      <c r="C1" s="154"/>
      <c r="D1" s="154"/>
      <c r="E1" s="155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56" t="s">
        <v>3294</v>
      </c>
      <c r="D3" s="156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zoomScale="80" zoomScaleNormal="80" zoomScalePageLayoutView="80" workbookViewId="0">
      <selection activeCell="D24" sqref="D2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9" t="s">
        <v>534</v>
      </c>
      <c r="B1" s="169"/>
      <c r="C1" s="169"/>
      <c r="D1" s="169"/>
      <c r="E1" s="111"/>
      <c r="F1" s="111"/>
      <c r="G1" s="111"/>
      <c r="H1" s="111"/>
      <c r="I1" s="111"/>
      <c r="J1" s="111"/>
      <c r="K1" s="111"/>
    </row>
    <row r="2" spans="1:11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9"/>
    </row>
    <row r="3" spans="1:11" x14ac:dyDescent="0.25">
      <c r="A3" s="160" t="s">
        <v>166</v>
      </c>
      <c r="B3" s="161"/>
      <c r="C3" s="161"/>
      <c r="D3" s="162"/>
    </row>
    <row r="4" spans="1:11" x14ac:dyDescent="0.25">
      <c r="A4" s="163" t="str">
        <f>TRIMESTRE</f>
        <v>Del 1 de enero al 30 de junio de 2020 (b)</v>
      </c>
      <c r="B4" s="164"/>
      <c r="C4" s="164"/>
      <c r="D4" s="165"/>
    </row>
    <row r="5" spans="1:11" x14ac:dyDescent="0.25">
      <c r="A5" s="166" t="s">
        <v>118</v>
      </c>
      <c r="B5" s="167"/>
      <c r="C5" s="167"/>
      <c r="D5" s="168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820567681.25</v>
      </c>
      <c r="C8" s="40">
        <f t="shared" ref="C8:D8" si="0">SUM(C9:C11)</f>
        <v>605858915.56999993</v>
      </c>
      <c r="D8" s="40">
        <f t="shared" si="0"/>
        <v>605858915.56999993</v>
      </c>
    </row>
    <row r="9" spans="1:11" x14ac:dyDescent="0.25">
      <c r="A9" s="53" t="s">
        <v>169</v>
      </c>
      <c r="B9" s="23">
        <v>647969616.40999997</v>
      </c>
      <c r="C9" s="23">
        <v>549628873.42999995</v>
      </c>
      <c r="D9" s="23">
        <v>549628873.42999995</v>
      </c>
    </row>
    <row r="10" spans="1:11" x14ac:dyDescent="0.25">
      <c r="A10" s="53" t="s">
        <v>170</v>
      </c>
      <c r="B10" s="23">
        <v>172598064.84</v>
      </c>
      <c r="C10" s="23">
        <v>56230042.140000001</v>
      </c>
      <c r="D10" s="151">
        <v>56230042.140000001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820567681.25407326</v>
      </c>
      <c r="C13" s="40">
        <f t="shared" ref="C13:D13" si="2">C14+C15</f>
        <v>287927081.90999961</v>
      </c>
      <c r="D13" s="40">
        <f t="shared" si="2"/>
        <v>287803775.7899996</v>
      </c>
    </row>
    <row r="14" spans="1:11" x14ac:dyDescent="0.25">
      <c r="A14" s="53" t="s">
        <v>172</v>
      </c>
      <c r="B14" s="23">
        <v>647969616.45407331</v>
      </c>
      <c r="C14" s="23">
        <v>234810904.40999961</v>
      </c>
      <c r="D14" s="23">
        <v>234687598.2899996</v>
      </c>
    </row>
    <row r="15" spans="1:11" x14ac:dyDescent="0.25">
      <c r="A15" s="53" t="s">
        <v>173</v>
      </c>
      <c r="B15" s="23">
        <v>172598064.79999998</v>
      </c>
      <c r="C15" s="23">
        <v>53116177.500000022</v>
      </c>
      <c r="D15" s="23">
        <v>53116177.500000022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0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-4.0732622146606445E-3</v>
      </c>
      <c r="C21" s="40">
        <f t="shared" ref="C21:D21" si="4">C8-C13+C17</f>
        <v>317931833.66000032</v>
      </c>
      <c r="D21" s="40">
        <f t="shared" si="4"/>
        <v>318055139.78000033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-4.0732622146606445E-3</v>
      </c>
      <c r="C23" s="40">
        <f t="shared" ref="C23:D23" si="5">C21-C11</f>
        <v>317931833.66000032</v>
      </c>
      <c r="D23" s="40">
        <f t="shared" si="5"/>
        <v>318055139.78000033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-4.0732622146606445E-3</v>
      </c>
      <c r="C25" s="40">
        <f t="shared" ref="C25" si="6">C23-C17</f>
        <v>317931833.66000032</v>
      </c>
      <c r="D25" s="40">
        <f>D23-D17</f>
        <v>318055139.78000033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-4.0732622146606445E-3</v>
      </c>
      <c r="C33" s="61">
        <f t="shared" ref="C33:D33" si="8">C25+C29</f>
        <v>317931833.66000032</v>
      </c>
      <c r="D33" s="61">
        <f t="shared" si="8"/>
        <v>318055139.78000033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647969616.40999997</v>
      </c>
      <c r="C48" s="124">
        <f>C9</f>
        <v>549628873.42999995</v>
      </c>
      <c r="D48" s="124">
        <f t="shared" ref="D48" si="12">D9</f>
        <v>549628873.42999995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647969616.45407331</v>
      </c>
      <c r="C53" s="60">
        <f t="shared" ref="C53:D53" si="14">C14</f>
        <v>234810904.40999961</v>
      </c>
      <c r="D53" s="60">
        <f t="shared" si="14"/>
        <v>234687598.2899996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-4.4073343276977539E-2</v>
      </c>
      <c r="C57" s="61">
        <f>C48+C49-C53+C55</f>
        <v>314817969.02000034</v>
      </c>
      <c r="D57" s="61">
        <f t="shared" ref="D57" si="16">D48+D49-D53+D55</f>
        <v>314941275.14000034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-4.4073343276977539E-2</v>
      </c>
      <c r="C59" s="61">
        <f t="shared" ref="C59:D59" si="17">C57-C49</f>
        <v>314817969.02000034</v>
      </c>
      <c r="D59" s="61">
        <f t="shared" si="17"/>
        <v>314941275.14000034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172598064.84</v>
      </c>
      <c r="C63" s="122">
        <f t="shared" ref="C63:D63" si="18">C10</f>
        <v>56230042.140000001</v>
      </c>
      <c r="D63" s="122">
        <f t="shared" si="18"/>
        <v>56230042.140000001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172598064.79999998</v>
      </c>
      <c r="C68" s="23">
        <f t="shared" ref="C68:D68" si="20">C15</f>
        <v>53116177.500000022</v>
      </c>
      <c r="D68" s="23">
        <f t="shared" si="20"/>
        <v>53116177.500000022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4.0000021457672119E-2</v>
      </c>
      <c r="C72" s="40">
        <f t="shared" ref="C72:D72" si="22">C63+C64-C68+C70</f>
        <v>3113864.6399999782</v>
      </c>
      <c r="D72" s="40">
        <f t="shared" si="22"/>
        <v>3113864.6399999782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4.0000021457672119E-2</v>
      </c>
      <c r="C74" s="40">
        <f>C72-C64</f>
        <v>3113864.6399999782</v>
      </c>
      <c r="D74" s="40">
        <f t="shared" ref="D74" si="23">D72-D64</f>
        <v>3113864.6399999782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63:D74 B29:D33 B37:D44 B48:D59 B8:C25 D8:D9 D11:D25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820567681.25</v>
      </c>
      <c r="Q2" s="18">
        <f>'Formato 4'!C8</f>
        <v>605858915.56999993</v>
      </c>
      <c r="R2" s="18">
        <f>'Formato 4'!D8</f>
        <v>605858915.56999993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647969616.40999997</v>
      </c>
      <c r="Q3" s="18">
        <f>'Formato 4'!C9</f>
        <v>549628873.42999995</v>
      </c>
      <c r="R3" s="18">
        <f>'Formato 4'!D9</f>
        <v>549628873.42999995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172598064.84</v>
      </c>
      <c r="Q4" s="18">
        <f>'Formato 4'!C10</f>
        <v>56230042.140000001</v>
      </c>
      <c r="R4" s="18">
        <f>'Formato 4'!D10</f>
        <v>56230042.140000001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820567681.25407326</v>
      </c>
      <c r="Q6" s="18">
        <f>'Formato 4'!C13</f>
        <v>287927081.90999961</v>
      </c>
      <c r="R6" s="18">
        <f>'Formato 4'!D13</f>
        <v>287803775.7899996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647969616.45407331</v>
      </c>
      <c r="Q7" s="18">
        <f>'Formato 4'!C14</f>
        <v>234810904.40999961</v>
      </c>
      <c r="R7" s="18">
        <f>'Formato 4'!D14</f>
        <v>234687598.2899996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172598064.79999998</v>
      </c>
      <c r="Q8" s="18">
        <f>'Formato 4'!C15</f>
        <v>53116177.500000022</v>
      </c>
      <c r="R8" s="18">
        <f>'Formato 4'!D15</f>
        <v>53116177.500000022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0</v>
      </c>
      <c r="R10" s="18">
        <f>'Formato 4'!D18</f>
        <v>0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-4.0732622146606445E-3</v>
      </c>
      <c r="Q12" s="18">
        <f>'Formato 4'!C21</f>
        <v>317931833.66000032</v>
      </c>
      <c r="R12" s="18">
        <f>'Formato 4'!D21</f>
        <v>318055139.78000033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-4.0732622146606445E-3</v>
      </c>
      <c r="Q13" s="18">
        <f>'Formato 4'!C23</f>
        <v>317931833.66000032</v>
      </c>
      <c r="R13" s="18">
        <f>'Formato 4'!D23</f>
        <v>318055139.78000033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-4.0732622146606445E-3</v>
      </c>
      <c r="Q14" s="18">
        <f>'Formato 4'!C25</f>
        <v>317931833.66000032</v>
      </c>
      <c r="R14" s="18">
        <f>'Formato 4'!D25</f>
        <v>318055139.78000033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-4.0732622146606445E-3</v>
      </c>
      <c r="Q18">
        <f>'Formato 4'!C33</f>
        <v>317931833.66000032</v>
      </c>
      <c r="R18">
        <f>'Formato 4'!D33</f>
        <v>318055139.78000033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647969616.40999997</v>
      </c>
      <c r="Q26">
        <f>'Formato 4'!C48</f>
        <v>549628873.42999995</v>
      </c>
      <c r="R26">
        <f>'Formato 4'!D48</f>
        <v>549628873.42999995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647969616.45407331</v>
      </c>
      <c r="Q30">
        <f>'Formato 4'!C53</f>
        <v>234810904.40999961</v>
      </c>
      <c r="R30">
        <f>'Formato 4'!D53</f>
        <v>234687598.2899996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0</v>
      </c>
      <c r="R31">
        <f>'Formato 4'!D55</f>
        <v>0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172598064.84</v>
      </c>
      <c r="Q32">
        <f>'Formato 4'!C63</f>
        <v>56230042.140000001</v>
      </c>
      <c r="R32">
        <f>'Formato 4'!D63</f>
        <v>56230042.140000001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172598064.79999998</v>
      </c>
      <c r="Q36">
        <f>'Formato 4'!C68</f>
        <v>53116177.500000022</v>
      </c>
      <c r="R36">
        <f>'Formato 4'!D68</f>
        <v>53116177.500000022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4.0000021457672119E-2</v>
      </c>
      <c r="Q38">
        <f>'Formato 4'!C72</f>
        <v>3113864.6399999782</v>
      </c>
      <c r="R38">
        <f>'Formato 4'!D72</f>
        <v>3113864.6399999782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4.0000021457672119E-2</v>
      </c>
      <c r="Q39">
        <f>'Formato 4'!C74</f>
        <v>3113864.6399999782</v>
      </c>
      <c r="R39">
        <f>'Formato 4'!D74</f>
        <v>3113864.6399999782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zoomScale="80" zoomScaleNormal="80" zoomScalePageLayoutView="80" workbookViewId="0">
      <selection activeCell="A11" sqref="A11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5" t="s">
        <v>206</v>
      </c>
      <c r="B1" s="175"/>
      <c r="C1" s="175"/>
      <c r="D1" s="175"/>
      <c r="E1" s="175"/>
      <c r="F1" s="175"/>
      <c r="G1" s="175"/>
    </row>
    <row r="2" spans="1:8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8" x14ac:dyDescent="0.25">
      <c r="A3" s="160" t="s">
        <v>207</v>
      </c>
      <c r="B3" s="161"/>
      <c r="C3" s="161"/>
      <c r="D3" s="161"/>
      <c r="E3" s="161"/>
      <c r="F3" s="161"/>
      <c r="G3" s="162"/>
    </row>
    <row r="4" spans="1:8" x14ac:dyDescent="0.25">
      <c r="A4" s="163" t="str">
        <f>TRIMESTRE</f>
        <v>Del 1 de enero al 30 de junio de 2020 (b)</v>
      </c>
      <c r="B4" s="164"/>
      <c r="C4" s="164"/>
      <c r="D4" s="164"/>
      <c r="E4" s="164"/>
      <c r="F4" s="164"/>
      <c r="G4" s="165"/>
    </row>
    <row r="5" spans="1:8" x14ac:dyDescent="0.25">
      <c r="A5" s="166" t="s">
        <v>118</v>
      </c>
      <c r="B5" s="167"/>
      <c r="C5" s="167"/>
      <c r="D5" s="167"/>
      <c r="E5" s="167"/>
      <c r="F5" s="167"/>
      <c r="G5" s="168"/>
    </row>
    <row r="6" spans="1:8" x14ac:dyDescent="0.25">
      <c r="A6" s="172" t="s">
        <v>214</v>
      </c>
      <c r="B6" s="174" t="s">
        <v>208</v>
      </c>
      <c r="C6" s="174"/>
      <c r="D6" s="174"/>
      <c r="E6" s="174"/>
      <c r="F6" s="174"/>
      <c r="G6" s="174" t="s">
        <v>209</v>
      </c>
    </row>
    <row r="7" spans="1:8" ht="30" x14ac:dyDescent="0.25">
      <c r="A7" s="173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4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28571359.949999999</v>
      </c>
      <c r="C13" s="60">
        <v>0</v>
      </c>
      <c r="D13" s="60">
        <f>+B13+C13</f>
        <v>28571359.949999999</v>
      </c>
      <c r="E13" s="60">
        <v>14350544.029999999</v>
      </c>
      <c r="F13" s="60">
        <v>14350544.029999999</v>
      </c>
      <c r="G13" s="60">
        <f t="shared" si="0"/>
        <v>-14220815.92</v>
      </c>
    </row>
    <row r="14" spans="1:8" x14ac:dyDescent="0.25">
      <c r="A14" s="53" t="s">
        <v>221</v>
      </c>
      <c r="B14" s="60">
        <v>20675967.199999999</v>
      </c>
      <c r="C14" s="60">
        <v>-15000000</v>
      </c>
      <c r="D14" s="60">
        <f>+B14+C14</f>
        <v>5675967.1999999993</v>
      </c>
      <c r="E14" s="60">
        <v>2747063.32</v>
      </c>
      <c r="F14" s="60">
        <v>2747063.32</v>
      </c>
      <c r="G14" s="60">
        <f t="shared" si="0"/>
        <v>-17928903.879999999</v>
      </c>
    </row>
    <row r="15" spans="1:8" x14ac:dyDescent="0.25">
      <c r="A15" s="53" t="s">
        <v>222</v>
      </c>
      <c r="B15" s="60">
        <v>598722289.25999999</v>
      </c>
      <c r="C15" s="60">
        <v>171203323.02000001</v>
      </c>
      <c r="D15" s="60">
        <f>+B15+C15</f>
        <v>769925612.27999997</v>
      </c>
      <c r="E15" s="60">
        <v>532531266.07999998</v>
      </c>
      <c r="F15" s="60">
        <v>532531266.07999998</v>
      </c>
      <c r="G15" s="60">
        <f t="shared" si="0"/>
        <v>-66191023.180000007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E35" si="5">C36</f>
        <v>0</v>
      </c>
      <c r="D35" s="60">
        <f t="shared" si="5"/>
        <v>0</v>
      </c>
      <c r="E35" s="60">
        <f t="shared" si="5"/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647969616.40999997</v>
      </c>
      <c r="C41" s="61">
        <f t="shared" ref="C41:E41" si="7">SUM(C9,C10,C11,C12,C13,C14,C15,C16,C28,C34,C35,C37)</f>
        <v>156203323.02000001</v>
      </c>
      <c r="D41" s="61">
        <f t="shared" si="7"/>
        <v>804172939.42999995</v>
      </c>
      <c r="E41" s="61">
        <f t="shared" si="7"/>
        <v>549628873.42999995</v>
      </c>
      <c r="F41" s="61">
        <f>SUM(F9,F10,F11,F12,F13,F14,F15,F16,F28,F34,F35,F37)</f>
        <v>549628873.42999995</v>
      </c>
      <c r="G41" s="61">
        <f>SUM(G9,G10,G11,G12,G13,G14,G15,G16,G28,G34,G35,G37)</f>
        <v>-98340742.980000004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148466795.02000001</v>
      </c>
      <c r="C45" s="60">
        <f t="shared" ref="C45:G45" si="8">SUM(C46:C53)</f>
        <v>-70884245.659999996</v>
      </c>
      <c r="D45" s="60">
        <f t="shared" si="8"/>
        <v>77582549.360000014</v>
      </c>
      <c r="E45" s="60">
        <f t="shared" si="8"/>
        <v>35656001.840000004</v>
      </c>
      <c r="F45" s="60">
        <f t="shared" si="8"/>
        <v>35656001.840000004</v>
      </c>
      <c r="G45" s="60">
        <f t="shared" si="8"/>
        <v>-112810793.18000001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148466795.02000001</v>
      </c>
      <c r="C48" s="60">
        <v>-70884245.659999996</v>
      </c>
      <c r="D48" s="60">
        <f>+B48+C48</f>
        <v>77582549.360000014</v>
      </c>
      <c r="E48" s="60">
        <v>35656001.840000004</v>
      </c>
      <c r="F48" s="60">
        <v>35656001.840000004</v>
      </c>
      <c r="G48" s="60">
        <f t="shared" si="9"/>
        <v>-112810793.18000001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24131269.82</v>
      </c>
      <c r="C54" s="60">
        <f t="shared" ref="C54:G54" si="10">SUM(C55:C58)</f>
        <v>21330053.600000001</v>
      </c>
      <c r="D54" s="60">
        <f t="shared" si="10"/>
        <v>45461323.420000002</v>
      </c>
      <c r="E54" s="60">
        <f t="shared" si="10"/>
        <v>20574040.299999997</v>
      </c>
      <c r="F54" s="60">
        <f t="shared" si="10"/>
        <v>20574040.299999997</v>
      </c>
      <c r="G54" s="60">
        <f t="shared" si="10"/>
        <v>-3557229.5200000033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24131269.82</v>
      </c>
      <c r="C58" s="60">
        <v>21330053.600000001</v>
      </c>
      <c r="D58" s="60">
        <f>+B58+C58</f>
        <v>45461323.420000002</v>
      </c>
      <c r="E58" s="60">
        <v>20574040.299999997</v>
      </c>
      <c r="F58" s="152">
        <v>20574040.299999997</v>
      </c>
      <c r="G58" s="60">
        <f t="shared" si="11"/>
        <v>-3557229.5200000033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172598064.84</v>
      </c>
      <c r="C65" s="61">
        <f t="shared" ref="C65:G65" si="13">C45+C54+C59+C62+C63</f>
        <v>-49554192.059999995</v>
      </c>
      <c r="D65" s="61">
        <f t="shared" si="13"/>
        <v>123043872.78000002</v>
      </c>
      <c r="E65" s="61">
        <f t="shared" si="13"/>
        <v>56230042.140000001</v>
      </c>
      <c r="F65" s="61">
        <f t="shared" si="13"/>
        <v>56230042.140000001</v>
      </c>
      <c r="G65" s="61">
        <f t="shared" si="13"/>
        <v>-116368022.70000002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820567681.25</v>
      </c>
      <c r="C70" s="61">
        <f t="shared" ref="C70:G70" si="15">C41+C65+C67</f>
        <v>106649130.96000001</v>
      </c>
      <c r="D70" s="61">
        <f t="shared" si="15"/>
        <v>927216812.20999992</v>
      </c>
      <c r="E70" s="61">
        <f t="shared" si="15"/>
        <v>605858915.56999993</v>
      </c>
      <c r="F70" s="61">
        <f t="shared" si="15"/>
        <v>605858915.56999993</v>
      </c>
      <c r="G70" s="61">
        <f t="shared" si="15"/>
        <v>-214708765.68000001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28571359.949999999</v>
      </c>
      <c r="Q7" s="18">
        <f>'Formato 5'!C13</f>
        <v>0</v>
      </c>
      <c r="R7" s="18">
        <f>'Formato 5'!D13</f>
        <v>28571359.949999999</v>
      </c>
      <c r="S7" s="18">
        <f>'Formato 5'!E13</f>
        <v>14350544.029999999</v>
      </c>
      <c r="T7" s="18">
        <f>'Formato 5'!F13</f>
        <v>14350544.029999999</v>
      </c>
      <c r="U7" s="18">
        <f>'Formato 5'!G13</f>
        <v>-14220815.92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20675967.199999999</v>
      </c>
      <c r="Q8" s="18">
        <f>'Formato 5'!C14</f>
        <v>-15000000</v>
      </c>
      <c r="R8" s="18">
        <f>'Formato 5'!D14</f>
        <v>5675967.1999999993</v>
      </c>
      <c r="S8" s="18">
        <f>'Formato 5'!E14</f>
        <v>2747063.32</v>
      </c>
      <c r="T8" s="18">
        <f>'Formato 5'!F14</f>
        <v>2747063.32</v>
      </c>
      <c r="U8" s="18">
        <f>'Formato 5'!G14</f>
        <v>-17928903.879999999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598722289.25999999</v>
      </c>
      <c r="Q9" s="18">
        <f>'Formato 5'!C15</f>
        <v>171203323.02000001</v>
      </c>
      <c r="R9" s="18">
        <f>'Formato 5'!D15</f>
        <v>769925612.27999997</v>
      </c>
      <c r="S9" s="18">
        <f>'Formato 5'!E15</f>
        <v>532531266.07999998</v>
      </c>
      <c r="T9" s="18">
        <f>'Formato 5'!F15</f>
        <v>532531266.07999998</v>
      </c>
      <c r="U9" s="18">
        <f>'Formato 5'!G15</f>
        <v>-66191023.180000007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647969616.40999997</v>
      </c>
      <c r="Q34">
        <f>'Formato 5'!C41</f>
        <v>156203323.02000001</v>
      </c>
      <c r="R34">
        <f>'Formato 5'!D41</f>
        <v>804172939.42999995</v>
      </c>
      <c r="S34">
        <f>'Formato 5'!E41</f>
        <v>549628873.42999995</v>
      </c>
      <c r="T34">
        <f>'Formato 5'!F41</f>
        <v>549628873.42999995</v>
      </c>
      <c r="U34">
        <f>'Formato 5'!G41</f>
        <v>-98340742.980000004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148466795.02000001</v>
      </c>
      <c r="Q37">
        <f>'Formato 5'!C45</f>
        <v>-70884245.659999996</v>
      </c>
      <c r="R37">
        <f>'Formato 5'!D45</f>
        <v>77582549.360000014</v>
      </c>
      <c r="S37">
        <f>'Formato 5'!E45</f>
        <v>35656001.840000004</v>
      </c>
      <c r="T37">
        <f>'Formato 5'!F45</f>
        <v>35656001.840000004</v>
      </c>
      <c r="U37">
        <f>'Formato 5'!G45</f>
        <v>-112810793.18000001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148466795.02000001</v>
      </c>
      <c r="Q40">
        <f>'Formato 5'!C48</f>
        <v>-70884245.659999996</v>
      </c>
      <c r="R40">
        <f>'Formato 5'!D48</f>
        <v>77582549.360000014</v>
      </c>
      <c r="S40">
        <f>'Formato 5'!E48</f>
        <v>35656001.840000004</v>
      </c>
      <c r="T40">
        <f>'Formato 5'!F48</f>
        <v>35656001.840000004</v>
      </c>
      <c r="U40">
        <f>'Formato 5'!G48</f>
        <v>-112810793.18000001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24131269.82</v>
      </c>
      <c r="Q46">
        <f>'Formato 5'!C54</f>
        <v>21330053.600000001</v>
      </c>
      <c r="R46">
        <f>'Formato 5'!D54</f>
        <v>45461323.420000002</v>
      </c>
      <c r="S46">
        <f>'Formato 5'!E54</f>
        <v>20574040.299999997</v>
      </c>
      <c r="T46">
        <f>'Formato 5'!F54</f>
        <v>20574040.299999997</v>
      </c>
      <c r="U46">
        <f>'Formato 5'!G54</f>
        <v>-3557229.5200000033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24131269.82</v>
      </c>
      <c r="Q50">
        <f>'Formato 5'!C58</f>
        <v>21330053.600000001</v>
      </c>
      <c r="R50">
        <f>'Formato 5'!D58</f>
        <v>45461323.420000002</v>
      </c>
      <c r="S50">
        <f>'Formato 5'!E58</f>
        <v>20574040.299999997</v>
      </c>
      <c r="T50">
        <f>'Formato 5'!F58</f>
        <v>20574040.299999997</v>
      </c>
      <c r="U50">
        <f>'Formato 5'!G58</f>
        <v>-3557229.5200000033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172598064.84</v>
      </c>
      <c r="Q56">
        <f>'Formato 5'!C65</f>
        <v>-49554192.059999995</v>
      </c>
      <c r="R56">
        <f>'Formato 5'!D65</f>
        <v>123043872.78000002</v>
      </c>
      <c r="S56">
        <f>'Formato 5'!E65</f>
        <v>56230042.140000001</v>
      </c>
      <c r="T56">
        <f>'Formato 5'!F65</f>
        <v>56230042.140000001</v>
      </c>
      <c r="U56">
        <f>'Formato 5'!G65</f>
        <v>-116368022.70000002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topLeftCell="A91" zoomScale="80" zoomScaleNormal="80" zoomScalePageLayoutView="80" workbookViewId="0">
      <selection activeCell="B137" sqref="B137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6" t="s">
        <v>3277</v>
      </c>
      <c r="B1" s="175"/>
      <c r="C1" s="175"/>
      <c r="D1" s="175"/>
      <c r="E1" s="175"/>
      <c r="F1" s="175"/>
      <c r="G1" s="175"/>
    </row>
    <row r="2" spans="1:7" x14ac:dyDescent="0.25">
      <c r="A2" s="179" t="str">
        <f>ENTE_PUBLICO_A</f>
        <v>JUNTA DE AGUA POTABLE DRENAJE ALCANTARILLADO Y SANEAMIENTO DEL MUNICIPIO DE IRAPUATO GTO, Gobierno del Estado de Guanajuato (a)</v>
      </c>
      <c r="B2" s="179"/>
      <c r="C2" s="179"/>
      <c r="D2" s="179"/>
      <c r="E2" s="179"/>
      <c r="F2" s="179"/>
      <c r="G2" s="179"/>
    </row>
    <row r="3" spans="1:7" x14ac:dyDescent="0.25">
      <c r="A3" s="180" t="s">
        <v>277</v>
      </c>
      <c r="B3" s="180"/>
      <c r="C3" s="180"/>
      <c r="D3" s="180"/>
      <c r="E3" s="180"/>
      <c r="F3" s="180"/>
      <c r="G3" s="180"/>
    </row>
    <row r="4" spans="1:7" x14ac:dyDescent="0.25">
      <c r="A4" s="180" t="s">
        <v>278</v>
      </c>
      <c r="B4" s="180"/>
      <c r="C4" s="180"/>
      <c r="D4" s="180"/>
      <c r="E4" s="180"/>
      <c r="F4" s="180"/>
      <c r="G4" s="180"/>
    </row>
    <row r="5" spans="1:7" x14ac:dyDescent="0.25">
      <c r="A5" s="181" t="str">
        <f>TRIMESTRE</f>
        <v>Del 1 de enero al 30 de junio de 2020 (b)</v>
      </c>
      <c r="B5" s="181"/>
      <c r="C5" s="181"/>
      <c r="D5" s="181"/>
      <c r="E5" s="181"/>
      <c r="F5" s="181"/>
      <c r="G5" s="181"/>
    </row>
    <row r="6" spans="1:7" x14ac:dyDescent="0.25">
      <c r="A6" s="173" t="s">
        <v>118</v>
      </c>
      <c r="B6" s="173"/>
      <c r="C6" s="173"/>
      <c r="D6" s="173"/>
      <c r="E6" s="173"/>
      <c r="F6" s="173"/>
      <c r="G6" s="173"/>
    </row>
    <row r="7" spans="1:7" ht="15" customHeight="1" x14ac:dyDescent="0.25">
      <c r="A7" s="177" t="s">
        <v>0</v>
      </c>
      <c r="B7" s="177" t="s">
        <v>279</v>
      </c>
      <c r="C7" s="177"/>
      <c r="D7" s="177"/>
      <c r="E7" s="177"/>
      <c r="F7" s="177"/>
      <c r="G7" s="178" t="s">
        <v>280</v>
      </c>
    </row>
    <row r="8" spans="1:7" ht="30" x14ac:dyDescent="0.25">
      <c r="A8" s="177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7"/>
    </row>
    <row r="9" spans="1:7" x14ac:dyDescent="0.25">
      <c r="A9" s="82" t="s">
        <v>285</v>
      </c>
      <c r="B9" s="79">
        <f>SUM(B10,B18,B28,B38,B48,B58,B62,B71,B75)</f>
        <v>647969616.45407319</v>
      </c>
      <c r="C9" s="79">
        <f t="shared" ref="C9:G9" si="0">SUM(C10,C18,C28,C38,C48,C58,C62,C71,C75)</f>
        <v>156203323.00592703</v>
      </c>
      <c r="D9" s="79">
        <f t="shared" si="0"/>
        <v>804172939.45999992</v>
      </c>
      <c r="E9" s="79">
        <f t="shared" si="0"/>
        <v>234810904.41000003</v>
      </c>
      <c r="F9" s="79">
        <f t="shared" si="0"/>
        <v>234687598.29000002</v>
      </c>
      <c r="G9" s="79">
        <f t="shared" si="0"/>
        <v>569362035.04999995</v>
      </c>
    </row>
    <row r="10" spans="1:7" x14ac:dyDescent="0.25">
      <c r="A10" s="83" t="s">
        <v>286</v>
      </c>
      <c r="B10" s="80">
        <f>SUM(B11:B17)</f>
        <v>118296814.69407302</v>
      </c>
      <c r="C10" s="80">
        <f t="shared" ref="C10:F10" si="1">SUM(C11:C17)</f>
        <v>5.9269797056913376E-3</v>
      </c>
      <c r="D10" s="80">
        <f t="shared" si="1"/>
        <v>118296814.7</v>
      </c>
      <c r="E10" s="80">
        <f t="shared" si="1"/>
        <v>49363999.609999992</v>
      </c>
      <c r="F10" s="80">
        <f t="shared" si="1"/>
        <v>49363999.609999992</v>
      </c>
      <c r="G10" s="80">
        <f>SUM(G11:G17)</f>
        <v>68932815.090000018</v>
      </c>
    </row>
    <row r="11" spans="1:7" x14ac:dyDescent="0.25">
      <c r="A11" s="84" t="s">
        <v>287</v>
      </c>
      <c r="B11" s="80">
        <v>82703455.549999997</v>
      </c>
      <c r="C11" s="80">
        <v>-329234.05000001192</v>
      </c>
      <c r="D11" s="80">
        <v>82374221.499999985</v>
      </c>
      <c r="E11" s="80">
        <v>38524273.349999987</v>
      </c>
      <c r="F11" s="80">
        <v>38524273.349999987</v>
      </c>
      <c r="G11" s="80">
        <f>D11-E11</f>
        <v>43849948.149999999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>D12-E12</f>
        <v>0</v>
      </c>
    </row>
    <row r="13" spans="1:7" x14ac:dyDescent="0.25">
      <c r="A13" s="84" t="s">
        <v>289</v>
      </c>
      <c r="B13" s="80">
        <v>12651930.680000002</v>
      </c>
      <c r="C13" s="80">
        <v>352087.74000000022</v>
      </c>
      <c r="D13" s="80">
        <v>13004018.420000002</v>
      </c>
      <c r="E13" s="80">
        <v>1510948.1300000004</v>
      </c>
      <c r="F13" s="80">
        <v>1510948.1300000004</v>
      </c>
      <c r="G13" s="80">
        <f t="shared" ref="G13:G17" si="2">D13-E13</f>
        <v>11493070.290000001</v>
      </c>
    </row>
    <row r="14" spans="1:7" x14ac:dyDescent="0.25">
      <c r="A14" s="84" t="s">
        <v>290</v>
      </c>
      <c r="B14" s="80">
        <v>21309353.604073022</v>
      </c>
      <c r="C14" s="80">
        <v>-22853.684073008597</v>
      </c>
      <c r="D14" s="80">
        <v>21286499.920000013</v>
      </c>
      <c r="E14" s="80">
        <v>8742071.8099999987</v>
      </c>
      <c r="F14" s="80">
        <v>8742071.8099999987</v>
      </c>
      <c r="G14" s="80">
        <f t="shared" si="2"/>
        <v>12544428.110000014</v>
      </c>
    </row>
    <row r="15" spans="1:7" x14ac:dyDescent="0.25">
      <c r="A15" s="84" t="s">
        <v>291</v>
      </c>
      <c r="B15" s="80">
        <v>1627074.86</v>
      </c>
      <c r="C15" s="80">
        <v>0</v>
      </c>
      <c r="D15" s="80">
        <v>1627074.86</v>
      </c>
      <c r="E15" s="80">
        <v>586706.32000000007</v>
      </c>
      <c r="F15" s="80">
        <v>586706.32000000007</v>
      </c>
      <c r="G15" s="80">
        <f t="shared" si="2"/>
        <v>1040368.54</v>
      </c>
    </row>
    <row r="16" spans="1:7" x14ac:dyDescent="0.25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f t="shared" si="2"/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>SUM(B19:B27)</f>
        <v>83783120.520000011</v>
      </c>
      <c r="C18" s="80">
        <f t="shared" ref="C18:F18" si="3">SUM(C19:C27)</f>
        <v>-8241020.8200000059</v>
      </c>
      <c r="D18" s="80">
        <f t="shared" si="3"/>
        <v>75542099.699999988</v>
      </c>
      <c r="E18" s="80">
        <f t="shared" si="3"/>
        <v>22280970.789999995</v>
      </c>
      <c r="F18" s="80">
        <f t="shared" si="3"/>
        <v>22280970.789999995</v>
      </c>
      <c r="G18" s="80">
        <f>SUM(G19:G27)</f>
        <v>53261128.909999996</v>
      </c>
    </row>
    <row r="19" spans="1:7" x14ac:dyDescent="0.25">
      <c r="A19" s="84" t="s">
        <v>295</v>
      </c>
      <c r="B19" s="80">
        <v>1587800.7500000002</v>
      </c>
      <c r="C19" s="80">
        <v>-37915.179999999702</v>
      </c>
      <c r="D19" s="80">
        <v>1549885.5700000005</v>
      </c>
      <c r="E19" s="80">
        <v>750312.74</v>
      </c>
      <c r="F19" s="80">
        <v>750312.74</v>
      </c>
      <c r="G19" s="80">
        <f>D19-E19</f>
        <v>799572.83000000054</v>
      </c>
    </row>
    <row r="20" spans="1:7" x14ac:dyDescent="0.25">
      <c r="A20" s="84" t="s">
        <v>296</v>
      </c>
      <c r="B20" s="80">
        <v>364012.14</v>
      </c>
      <c r="C20" s="80">
        <v>-52000</v>
      </c>
      <c r="D20" s="80">
        <v>312012.14</v>
      </c>
      <c r="E20" s="80">
        <v>72361.88</v>
      </c>
      <c r="F20" s="80">
        <v>72361.88</v>
      </c>
      <c r="G20" s="80">
        <f t="shared" ref="G20:G27" si="4">D20-E20</f>
        <v>239650.26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29084003.93</v>
      </c>
      <c r="C22" s="80">
        <v>3251680.0800000019</v>
      </c>
      <c r="D22" s="80">
        <v>32335684.010000002</v>
      </c>
      <c r="E22" s="80">
        <v>9002507.0800000001</v>
      </c>
      <c r="F22" s="80">
        <v>9002507.0800000001</v>
      </c>
      <c r="G22" s="80">
        <f t="shared" si="4"/>
        <v>23333176.93</v>
      </c>
    </row>
    <row r="23" spans="1:7" x14ac:dyDescent="0.25">
      <c r="A23" s="84" t="s">
        <v>299</v>
      </c>
      <c r="B23" s="80">
        <v>38751266.740000002</v>
      </c>
      <c r="C23" s="80">
        <v>-10747182.24000001</v>
      </c>
      <c r="D23" s="80">
        <v>28004084.499999993</v>
      </c>
      <c r="E23" s="80">
        <v>8594000.4099999946</v>
      </c>
      <c r="F23" s="80">
        <v>8594000.4099999946</v>
      </c>
      <c r="G23" s="80">
        <f t="shared" si="4"/>
        <v>19410084.089999996</v>
      </c>
    </row>
    <row r="24" spans="1:7" x14ac:dyDescent="0.25">
      <c r="A24" s="84" t="s">
        <v>300</v>
      </c>
      <c r="B24" s="80">
        <v>10101370.370000001</v>
      </c>
      <c r="C24" s="80">
        <v>-471518.54999999888</v>
      </c>
      <c r="D24" s="80">
        <v>9629851.8200000022</v>
      </c>
      <c r="E24" s="80">
        <v>2841885.2800000003</v>
      </c>
      <c r="F24" s="80">
        <v>2841885.2800000003</v>
      </c>
      <c r="G24" s="80">
        <f t="shared" si="4"/>
        <v>6787966.5400000019</v>
      </c>
    </row>
    <row r="25" spans="1:7" x14ac:dyDescent="0.25">
      <c r="A25" s="84" t="s">
        <v>301</v>
      </c>
      <c r="B25" s="80">
        <v>1940410.02</v>
      </c>
      <c r="C25" s="80">
        <v>-117447.38999999966</v>
      </c>
      <c r="D25" s="80">
        <v>1822962.6300000004</v>
      </c>
      <c r="E25" s="80">
        <v>306875.35000000003</v>
      </c>
      <c r="F25" s="80">
        <v>306875.35000000003</v>
      </c>
      <c r="G25" s="80">
        <f t="shared" si="4"/>
        <v>1516087.2800000003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1954256.5700000003</v>
      </c>
      <c r="C27" s="80">
        <v>-66637.540000000037</v>
      </c>
      <c r="D27" s="80">
        <v>1887619.0300000003</v>
      </c>
      <c r="E27" s="80">
        <v>713028.04999999993</v>
      </c>
      <c r="F27" s="80">
        <v>713028.04999999993</v>
      </c>
      <c r="G27" s="80">
        <f t="shared" si="4"/>
        <v>1174590.9800000004</v>
      </c>
    </row>
    <row r="28" spans="1:7" x14ac:dyDescent="0.25">
      <c r="A28" s="83" t="s">
        <v>304</v>
      </c>
      <c r="B28" s="80">
        <f>SUM(B29:B37)</f>
        <v>139719573.09999999</v>
      </c>
      <c r="C28" s="80">
        <f t="shared" ref="C28:G28" si="5">SUM(C29:C37)</f>
        <v>989229.14000001037</v>
      </c>
      <c r="D28" s="80">
        <f t="shared" si="5"/>
        <v>140708802.24000001</v>
      </c>
      <c r="E28" s="80">
        <f t="shared" si="5"/>
        <v>64568540.719999984</v>
      </c>
      <c r="F28" s="80">
        <f t="shared" si="5"/>
        <v>64568540.719999984</v>
      </c>
      <c r="G28" s="80">
        <f t="shared" si="5"/>
        <v>76140261.520000041</v>
      </c>
    </row>
    <row r="29" spans="1:7" x14ac:dyDescent="0.25">
      <c r="A29" s="84" t="s">
        <v>305</v>
      </c>
      <c r="B29" s="80">
        <v>80760468.25</v>
      </c>
      <c r="C29" s="80">
        <v>-594747.9999999851</v>
      </c>
      <c r="D29" s="80">
        <v>80165720.250000015</v>
      </c>
      <c r="E29" s="80">
        <v>39493307.929999992</v>
      </c>
      <c r="F29" s="80">
        <v>39493307.929999992</v>
      </c>
      <c r="G29" s="80">
        <f>D29-E29</f>
        <v>40672412.320000023</v>
      </c>
    </row>
    <row r="30" spans="1:7" x14ac:dyDescent="0.25">
      <c r="A30" s="84" t="s">
        <v>306</v>
      </c>
      <c r="B30" s="80">
        <v>3808682.9899999998</v>
      </c>
      <c r="C30" s="80">
        <v>-849999.99999999953</v>
      </c>
      <c r="D30" s="80">
        <v>2958682.99</v>
      </c>
      <c r="E30" s="80">
        <v>428873.37999999995</v>
      </c>
      <c r="F30" s="80">
        <v>428873.37999999995</v>
      </c>
      <c r="G30" s="80">
        <f t="shared" ref="G30:G37" si="6">D30-E30</f>
        <v>2529809.6100000003</v>
      </c>
    </row>
    <row r="31" spans="1:7" x14ac:dyDescent="0.25">
      <c r="A31" s="84" t="s">
        <v>307</v>
      </c>
      <c r="B31" s="80">
        <v>7406208.5099999998</v>
      </c>
      <c r="C31" s="80">
        <v>1967602.9299999997</v>
      </c>
      <c r="D31" s="80">
        <v>9373811.4399999995</v>
      </c>
      <c r="E31" s="80">
        <v>2020568.5100000005</v>
      </c>
      <c r="F31" s="80">
        <v>2020568.5100000005</v>
      </c>
      <c r="G31" s="80">
        <f t="shared" si="6"/>
        <v>7353242.9299999988</v>
      </c>
    </row>
    <row r="32" spans="1:7" x14ac:dyDescent="0.25">
      <c r="A32" s="84" t="s">
        <v>308</v>
      </c>
      <c r="B32" s="80">
        <v>4472431.82</v>
      </c>
      <c r="C32" s="80">
        <v>0</v>
      </c>
      <c r="D32" s="80">
        <v>4472431.82</v>
      </c>
      <c r="E32" s="80">
        <v>1542894.5099999993</v>
      </c>
      <c r="F32" s="80">
        <v>1542894.5099999993</v>
      </c>
      <c r="G32" s="80">
        <f t="shared" si="6"/>
        <v>2929537.310000001</v>
      </c>
    </row>
    <row r="33" spans="1:7" x14ac:dyDescent="0.25">
      <c r="A33" s="84" t="s">
        <v>309</v>
      </c>
      <c r="B33" s="80">
        <v>10923319.480000002</v>
      </c>
      <c r="C33" s="80">
        <v>412099.99999999814</v>
      </c>
      <c r="D33" s="80">
        <v>11335419.48</v>
      </c>
      <c r="E33" s="80">
        <v>4315874.7199999979</v>
      </c>
      <c r="F33" s="80">
        <v>4315874.7199999979</v>
      </c>
      <c r="G33" s="80">
        <f t="shared" si="6"/>
        <v>7019544.7600000026</v>
      </c>
    </row>
    <row r="34" spans="1:7" x14ac:dyDescent="0.25">
      <c r="A34" s="84" t="s">
        <v>310</v>
      </c>
      <c r="B34" s="80">
        <v>2435649</v>
      </c>
      <c r="C34" s="80">
        <v>0</v>
      </c>
      <c r="D34" s="80">
        <v>2435649</v>
      </c>
      <c r="E34" s="80">
        <v>1586585.83</v>
      </c>
      <c r="F34" s="80">
        <v>1586585.83</v>
      </c>
      <c r="G34" s="80">
        <f t="shared" si="6"/>
        <v>849063.16999999993</v>
      </c>
    </row>
    <row r="35" spans="1:7" x14ac:dyDescent="0.25">
      <c r="A35" s="84" t="s">
        <v>311</v>
      </c>
      <c r="B35" s="80">
        <v>219271.07000000004</v>
      </c>
      <c r="C35" s="80">
        <v>0</v>
      </c>
      <c r="D35" s="80">
        <v>219271.07000000004</v>
      </c>
      <c r="E35" s="80">
        <v>2501.5500000000002</v>
      </c>
      <c r="F35" s="80">
        <v>2501.5500000000002</v>
      </c>
      <c r="G35" s="80">
        <f t="shared" si="6"/>
        <v>216769.52000000005</v>
      </c>
    </row>
    <row r="36" spans="1:7" x14ac:dyDescent="0.25">
      <c r="A36" s="84" t="s">
        <v>312</v>
      </c>
      <c r="B36" s="80">
        <v>379956.33999999997</v>
      </c>
      <c r="C36" s="80">
        <v>0</v>
      </c>
      <c r="D36" s="80">
        <v>379956.33999999997</v>
      </c>
      <c r="E36" s="80">
        <v>117129.68</v>
      </c>
      <c r="F36" s="80">
        <v>117129.68</v>
      </c>
      <c r="G36" s="80">
        <f t="shared" si="6"/>
        <v>262826.65999999997</v>
      </c>
    </row>
    <row r="37" spans="1:7" x14ac:dyDescent="0.25">
      <c r="A37" s="84" t="s">
        <v>313</v>
      </c>
      <c r="B37" s="80">
        <v>29313585.640000004</v>
      </c>
      <c r="C37" s="80">
        <v>54274.209999997169</v>
      </c>
      <c r="D37" s="80">
        <v>29367859.850000001</v>
      </c>
      <c r="E37" s="80">
        <v>15060804.609999999</v>
      </c>
      <c r="F37" s="80">
        <v>15060804.609999999</v>
      </c>
      <c r="G37" s="80">
        <f t="shared" si="6"/>
        <v>14307055.240000002</v>
      </c>
    </row>
    <row r="38" spans="1:7" x14ac:dyDescent="0.25">
      <c r="A38" s="83" t="s">
        <v>314</v>
      </c>
      <c r="B38" s="80">
        <f>SUM(B39:B47)</f>
        <v>746418.09999999986</v>
      </c>
      <c r="C38" s="80">
        <f t="shared" ref="C38:G38" si="7">SUM(C39:C47)</f>
        <v>1251000</v>
      </c>
      <c r="D38" s="80">
        <f t="shared" si="7"/>
        <v>1997418.1</v>
      </c>
      <c r="E38" s="80">
        <f t="shared" si="7"/>
        <v>563470</v>
      </c>
      <c r="F38" s="80">
        <f t="shared" si="7"/>
        <v>563470</v>
      </c>
      <c r="G38" s="80">
        <f t="shared" si="7"/>
        <v>1433948.1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197418.1</v>
      </c>
      <c r="C42" s="80">
        <v>0</v>
      </c>
      <c r="D42" s="80">
        <v>197418.1</v>
      </c>
      <c r="E42" s="80">
        <v>63470</v>
      </c>
      <c r="F42" s="80">
        <v>63470</v>
      </c>
      <c r="G42" s="80">
        <f t="shared" si="8"/>
        <v>133948.1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548999.99999999988</v>
      </c>
      <c r="C46" s="80">
        <v>1251000</v>
      </c>
      <c r="D46" s="80">
        <v>1800000</v>
      </c>
      <c r="E46" s="80">
        <v>500000</v>
      </c>
      <c r="F46" s="80">
        <v>500000</v>
      </c>
      <c r="G46" s="80">
        <f t="shared" si="8"/>
        <v>1300000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25971180.350000001</v>
      </c>
      <c r="C48" s="80">
        <f t="shared" ref="C48:G48" si="9">SUM(C49:C57)</f>
        <v>8091500.1700000018</v>
      </c>
      <c r="D48" s="80">
        <f t="shared" si="9"/>
        <v>34062680.520000003</v>
      </c>
      <c r="E48" s="80">
        <f t="shared" si="9"/>
        <v>14220617.640000002</v>
      </c>
      <c r="F48" s="80">
        <f t="shared" si="9"/>
        <v>14220617.640000002</v>
      </c>
      <c r="G48" s="80">
        <f t="shared" si="9"/>
        <v>19842062.879999999</v>
      </c>
    </row>
    <row r="49" spans="1:7" x14ac:dyDescent="0.25">
      <c r="A49" s="84" t="s">
        <v>325</v>
      </c>
      <c r="B49" s="80">
        <v>326980.34999999998</v>
      </c>
      <c r="C49" s="80">
        <v>1443806.8000000003</v>
      </c>
      <c r="D49" s="80">
        <v>1770787.1500000001</v>
      </c>
      <c r="E49" s="80">
        <v>232753.74000000002</v>
      </c>
      <c r="F49" s="80">
        <v>232753.74000000002</v>
      </c>
      <c r="G49" s="80">
        <f>D49-E49</f>
        <v>1538033.4100000001</v>
      </c>
    </row>
    <row r="50" spans="1:7" x14ac:dyDescent="0.25">
      <c r="A50" s="84" t="s">
        <v>326</v>
      </c>
      <c r="B50" s="80">
        <v>77700</v>
      </c>
      <c r="C50" s="80">
        <v>0</v>
      </c>
      <c r="D50" s="80">
        <v>77700</v>
      </c>
      <c r="E50" s="80">
        <v>9220</v>
      </c>
      <c r="F50" s="80">
        <v>9220</v>
      </c>
      <c r="G50" s="80">
        <f t="shared" ref="G50:G57" si="10">D50-E50</f>
        <v>68480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360000</v>
      </c>
      <c r="C52" s="80">
        <v>700000</v>
      </c>
      <c r="D52" s="80">
        <v>1060000</v>
      </c>
      <c r="E52" s="80">
        <v>80585.98</v>
      </c>
      <c r="F52" s="80">
        <v>80585.98</v>
      </c>
      <c r="G52" s="80">
        <f t="shared" si="10"/>
        <v>979414.02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24199000</v>
      </c>
      <c r="C54" s="80">
        <v>5952003.370000001</v>
      </c>
      <c r="D54" s="80">
        <v>30151003.370000001</v>
      </c>
      <c r="E54" s="80">
        <v>13894867.920000002</v>
      </c>
      <c r="F54" s="80">
        <v>13894867.920000002</v>
      </c>
      <c r="G54" s="80">
        <f t="shared" si="10"/>
        <v>16256135.449999999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999999.99999999988</v>
      </c>
      <c r="C56" s="80">
        <v>0</v>
      </c>
      <c r="D56" s="80">
        <v>999999.99999999988</v>
      </c>
      <c r="E56" s="80">
        <v>0</v>
      </c>
      <c r="F56" s="80">
        <v>0</v>
      </c>
      <c r="G56" s="80">
        <f t="shared" si="10"/>
        <v>999999.99999999988</v>
      </c>
    </row>
    <row r="57" spans="1:7" x14ac:dyDescent="0.25">
      <c r="A57" s="84" t="s">
        <v>333</v>
      </c>
      <c r="B57" s="80">
        <v>7500</v>
      </c>
      <c r="C57" s="80">
        <v>-4310</v>
      </c>
      <c r="D57" s="80">
        <v>3190</v>
      </c>
      <c r="E57" s="80">
        <v>3190</v>
      </c>
      <c r="F57" s="80">
        <v>3190</v>
      </c>
      <c r="G57" s="80">
        <f t="shared" si="10"/>
        <v>0</v>
      </c>
    </row>
    <row r="58" spans="1:7" x14ac:dyDescent="0.25">
      <c r="A58" s="83" t="s">
        <v>334</v>
      </c>
      <c r="B58" s="80">
        <f>SUM(B59:B61)</f>
        <v>226589861.25</v>
      </c>
      <c r="C58" s="80">
        <f t="shared" ref="C58:G58" si="11">SUM(C59:C61)</f>
        <v>5829384.0500000082</v>
      </c>
      <c r="D58" s="80">
        <f t="shared" si="11"/>
        <v>232419245.30000001</v>
      </c>
      <c r="E58" s="80">
        <f t="shared" si="11"/>
        <v>42389069.160000026</v>
      </c>
      <c r="F58" s="80">
        <f t="shared" si="11"/>
        <v>42265763.040000029</v>
      </c>
      <c r="G58" s="80">
        <f t="shared" si="11"/>
        <v>190030176.13999996</v>
      </c>
    </row>
    <row r="59" spans="1:7" x14ac:dyDescent="0.25">
      <c r="A59" s="84" t="s">
        <v>335</v>
      </c>
      <c r="B59" s="80">
        <v>201371264.06999999</v>
      </c>
      <c r="C59" s="80">
        <v>14672234.710000008</v>
      </c>
      <c r="D59" s="80">
        <v>216043498.78</v>
      </c>
      <c r="E59" s="80">
        <v>38900649.860000029</v>
      </c>
      <c r="F59" s="80">
        <v>38777343.740000032</v>
      </c>
      <c r="G59" s="80">
        <f>D59-E59</f>
        <v>177142848.91999996</v>
      </c>
    </row>
    <row r="60" spans="1:7" x14ac:dyDescent="0.25">
      <c r="A60" s="84" t="s">
        <v>336</v>
      </c>
      <c r="B60" s="80">
        <v>25218597.18</v>
      </c>
      <c r="C60" s="80">
        <v>-8842850.6600000001</v>
      </c>
      <c r="D60" s="80">
        <v>16375746.52</v>
      </c>
      <c r="E60" s="80">
        <v>3488419.3</v>
      </c>
      <c r="F60" s="80">
        <v>3488419.3</v>
      </c>
      <c r="G60" s="80">
        <f t="shared" ref="G60:G61" si="12">D60-E60</f>
        <v>12887327.219999999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52862648.439999998</v>
      </c>
      <c r="C62" s="80">
        <f t="shared" ref="C62:G62" si="13">SUM(C63:C67,C69:C70)</f>
        <v>130144931.16000003</v>
      </c>
      <c r="D62" s="80">
        <f t="shared" si="13"/>
        <v>183007579.60000002</v>
      </c>
      <c r="E62" s="80">
        <f t="shared" si="13"/>
        <v>41424236.490000002</v>
      </c>
      <c r="F62" s="80">
        <f t="shared" si="13"/>
        <v>41424236.490000002</v>
      </c>
      <c r="G62" s="80">
        <f t="shared" si="13"/>
        <v>141583343.11000001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52862648.439999998</v>
      </c>
      <c r="C66" s="80">
        <v>-4884648.4399999976</v>
      </c>
      <c r="D66" s="80">
        <v>47978000</v>
      </c>
      <c r="E66" s="80">
        <v>41424236.490000002</v>
      </c>
      <c r="F66" s="80">
        <v>41424236.490000002</v>
      </c>
      <c r="G66" s="80">
        <f t="shared" si="14"/>
        <v>6553763.5099999979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135029579.60000002</v>
      </c>
      <c r="D70" s="80">
        <v>135029579.60000002</v>
      </c>
      <c r="E70" s="80">
        <v>0</v>
      </c>
      <c r="F70" s="80">
        <v>0</v>
      </c>
      <c r="G70" s="80">
        <f t="shared" si="14"/>
        <v>135029579.60000002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18138299.300000001</v>
      </c>
      <c r="D71" s="80">
        <f t="shared" si="15"/>
        <v>18138299.300000001</v>
      </c>
      <c r="E71" s="80">
        <f t="shared" si="15"/>
        <v>0</v>
      </c>
      <c r="F71" s="80">
        <f t="shared" si="15"/>
        <v>0</v>
      </c>
      <c r="G71" s="80">
        <f t="shared" si="15"/>
        <v>18138299.300000001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18138299.300000001</v>
      </c>
      <c r="D74" s="80">
        <v>18138299.300000001</v>
      </c>
      <c r="E74" s="80">
        <v>0</v>
      </c>
      <c r="F74" s="80">
        <v>0</v>
      </c>
      <c r="G74" s="80">
        <f t="shared" si="16"/>
        <v>18138299.300000001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172598064.80000001</v>
      </c>
      <c r="C84" s="79">
        <f t="shared" ref="C84:G84" si="19">SUM(C85,C93,C103,C113,C123,C133,C137,C146,C150)</f>
        <v>-49554192.040000014</v>
      </c>
      <c r="D84" s="79">
        <f t="shared" si="19"/>
        <v>123043872.75999999</v>
      </c>
      <c r="E84" s="79">
        <f t="shared" si="19"/>
        <v>53116177.5</v>
      </c>
      <c r="F84" s="79">
        <f t="shared" si="19"/>
        <v>53116177.5</v>
      </c>
      <c r="G84" s="79">
        <f t="shared" si="19"/>
        <v>69927695.259999976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x14ac:dyDescent="0.25">
      <c r="A93" s="83" t="s">
        <v>294</v>
      </c>
      <c r="B93" s="80">
        <f>SUM(B94:B102)</f>
        <v>4000000</v>
      </c>
      <c r="C93" s="80">
        <f t="shared" ref="C93:G93" si="22">SUM(C94:C102)</f>
        <v>2474938.81</v>
      </c>
      <c r="D93" s="80">
        <f t="shared" si="22"/>
        <v>6474938.8100000005</v>
      </c>
      <c r="E93" s="80">
        <f t="shared" si="22"/>
        <v>3997197.6</v>
      </c>
      <c r="F93" s="80">
        <f t="shared" si="22"/>
        <v>3997197.6</v>
      </c>
      <c r="G93" s="80">
        <f t="shared" si="22"/>
        <v>2477741.21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4000000</v>
      </c>
      <c r="C97" s="80">
        <v>2070092.12</v>
      </c>
      <c r="D97" s="80">
        <v>6070092.1200000001</v>
      </c>
      <c r="E97" s="80">
        <v>3900653.12</v>
      </c>
      <c r="F97" s="80">
        <v>3900653.12</v>
      </c>
      <c r="G97" s="80">
        <f t="shared" si="23"/>
        <v>2169439</v>
      </c>
    </row>
    <row r="98" spans="1:7" x14ac:dyDescent="0.25">
      <c r="A98" s="42" t="s">
        <v>299</v>
      </c>
      <c r="B98" s="80">
        <v>0</v>
      </c>
      <c r="C98" s="80">
        <v>389766.69</v>
      </c>
      <c r="D98" s="80">
        <v>389766.69</v>
      </c>
      <c r="E98" s="80">
        <v>81464.479999999996</v>
      </c>
      <c r="F98" s="80">
        <v>81464.479999999996</v>
      </c>
      <c r="G98" s="80">
        <f t="shared" si="23"/>
        <v>308302.21000000002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3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25">
      <c r="A102" s="84" t="s">
        <v>303</v>
      </c>
      <c r="B102" s="80">
        <v>0</v>
      </c>
      <c r="C102" s="80">
        <v>15080</v>
      </c>
      <c r="D102" s="80">
        <v>15080</v>
      </c>
      <c r="E102" s="80">
        <v>15080</v>
      </c>
      <c r="F102" s="80">
        <v>15080</v>
      </c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4000000</v>
      </c>
      <c r="C123" s="80">
        <f t="shared" ref="C123:G123" si="28">SUM(C124:C132)</f>
        <v>-363314.77</v>
      </c>
      <c r="D123" s="80">
        <f t="shared" si="28"/>
        <v>3636685.23</v>
      </c>
      <c r="E123" s="80">
        <f t="shared" si="28"/>
        <v>3636685.24</v>
      </c>
      <c r="F123" s="80">
        <f t="shared" si="28"/>
        <v>3636685.24</v>
      </c>
      <c r="G123" s="80">
        <f t="shared" si="28"/>
        <v>-1.0000000242143869E-2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4000000</v>
      </c>
      <c r="C129" s="80">
        <v>-363314.77</v>
      </c>
      <c r="D129" s="80">
        <v>3636685.23</v>
      </c>
      <c r="E129" s="80">
        <v>3636685.24</v>
      </c>
      <c r="F129" s="80">
        <v>3636685.24</v>
      </c>
      <c r="G129" s="80">
        <f t="shared" si="29"/>
        <v>-1.0000000242143869E-2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164598064.80000001</v>
      </c>
      <c r="C133" s="80">
        <f t="shared" ref="C133:G133" si="30">SUM(C134:C136)</f>
        <v>-51665816.080000013</v>
      </c>
      <c r="D133" s="80">
        <f t="shared" si="30"/>
        <v>112932248.71999998</v>
      </c>
      <c r="E133" s="80">
        <f t="shared" si="30"/>
        <v>45482294.660000004</v>
      </c>
      <c r="F133" s="80">
        <f t="shared" si="30"/>
        <v>45482294.660000004</v>
      </c>
      <c r="G133" s="80">
        <f t="shared" si="30"/>
        <v>67449954.059999973</v>
      </c>
    </row>
    <row r="134" spans="1:7" x14ac:dyDescent="0.25">
      <c r="A134" s="84" t="s">
        <v>335</v>
      </c>
      <c r="B134" s="80">
        <v>144481931.65000001</v>
      </c>
      <c r="C134" s="80">
        <v>-43896309.76000002</v>
      </c>
      <c r="D134" s="80">
        <v>100585621.88999999</v>
      </c>
      <c r="E134" s="80">
        <v>37424976.560000002</v>
      </c>
      <c r="F134" s="80">
        <v>37424976.560000002</v>
      </c>
      <c r="G134" s="80">
        <f>D134-E134</f>
        <v>63160645.329999983</v>
      </c>
    </row>
    <row r="135" spans="1:7" x14ac:dyDescent="0.25">
      <c r="A135" s="84" t="s">
        <v>336</v>
      </c>
      <c r="B135" s="80">
        <v>20116133.149999995</v>
      </c>
      <c r="C135" s="80">
        <v>-7769506.3199999947</v>
      </c>
      <c r="D135" s="80">
        <v>12346626.83</v>
      </c>
      <c r="E135" s="80">
        <v>8057318.1000000043</v>
      </c>
      <c r="F135" s="80">
        <v>8057318.1000000043</v>
      </c>
      <c r="G135" s="80">
        <f t="shared" ref="G135:G136" si="31">D135-E135</f>
        <v>4289308.7299999958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820567681.25407314</v>
      </c>
      <c r="C159" s="79">
        <f t="shared" ref="C159:G159" si="38">C9+C84</f>
        <v>106649130.965927</v>
      </c>
      <c r="D159" s="79">
        <f t="shared" si="38"/>
        <v>927216812.21999991</v>
      </c>
      <c r="E159" s="79">
        <f t="shared" si="38"/>
        <v>287927081.91000003</v>
      </c>
      <c r="F159" s="79">
        <f t="shared" si="38"/>
        <v>287803775.79000002</v>
      </c>
      <c r="G159" s="79">
        <f t="shared" si="38"/>
        <v>639289730.30999994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647969616.45407319</v>
      </c>
      <c r="Q2" s="18">
        <f>'Formato 6 a)'!C9</f>
        <v>156203323.00592703</v>
      </c>
      <c r="R2" s="18">
        <f>'Formato 6 a)'!D9</f>
        <v>804172939.45999992</v>
      </c>
      <c r="S2" s="18">
        <f>'Formato 6 a)'!E9</f>
        <v>234810904.41000003</v>
      </c>
      <c r="T2" s="18">
        <f>'Formato 6 a)'!F9</f>
        <v>234687598.29000002</v>
      </c>
      <c r="U2" s="18">
        <f>'Formato 6 a)'!G9</f>
        <v>569362035.04999995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118296814.69407302</v>
      </c>
      <c r="Q3" s="18">
        <f>'Formato 6 a)'!C10</f>
        <v>5.9269797056913376E-3</v>
      </c>
      <c r="R3" s="18">
        <f>'Formato 6 a)'!D10</f>
        <v>118296814.7</v>
      </c>
      <c r="S3" s="18">
        <f>'Formato 6 a)'!E10</f>
        <v>49363999.609999992</v>
      </c>
      <c r="T3" s="18">
        <f>'Formato 6 a)'!F10</f>
        <v>49363999.609999992</v>
      </c>
      <c r="U3" s="18">
        <f>'Formato 6 a)'!G10</f>
        <v>68932815.090000018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82703455.549999997</v>
      </c>
      <c r="Q4" s="18">
        <f>'Formato 6 a)'!C11</f>
        <v>-329234.05000001192</v>
      </c>
      <c r="R4" s="18">
        <f>'Formato 6 a)'!D11</f>
        <v>82374221.499999985</v>
      </c>
      <c r="S4" s="18">
        <f>'Formato 6 a)'!E11</f>
        <v>38524273.349999987</v>
      </c>
      <c r="T4" s="18">
        <f>'Formato 6 a)'!F11</f>
        <v>38524273.349999987</v>
      </c>
      <c r="U4" s="18">
        <f>'Formato 6 a)'!G11</f>
        <v>43849948.149999999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12651930.680000002</v>
      </c>
      <c r="Q6" s="18">
        <f>'Formato 6 a)'!C13</f>
        <v>352087.74000000022</v>
      </c>
      <c r="R6" s="18">
        <f>'Formato 6 a)'!D13</f>
        <v>13004018.420000002</v>
      </c>
      <c r="S6" s="18">
        <f>'Formato 6 a)'!E13</f>
        <v>1510948.1300000004</v>
      </c>
      <c r="T6" s="18">
        <f>'Formato 6 a)'!F13</f>
        <v>1510948.1300000004</v>
      </c>
      <c r="U6" s="18">
        <f>'Formato 6 a)'!G13</f>
        <v>11493070.290000001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21309353.604073022</v>
      </c>
      <c r="Q7" s="18">
        <f>'Formato 6 a)'!C14</f>
        <v>-22853.684073008597</v>
      </c>
      <c r="R7" s="18">
        <f>'Formato 6 a)'!D14</f>
        <v>21286499.920000013</v>
      </c>
      <c r="S7" s="18">
        <f>'Formato 6 a)'!E14</f>
        <v>8742071.8099999987</v>
      </c>
      <c r="T7" s="18">
        <f>'Formato 6 a)'!F14</f>
        <v>8742071.8099999987</v>
      </c>
      <c r="U7" s="18">
        <f>'Formato 6 a)'!G14</f>
        <v>12544428.110000014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1627074.86</v>
      </c>
      <c r="Q8" s="18">
        <f>'Formato 6 a)'!C15</f>
        <v>0</v>
      </c>
      <c r="R8" s="18">
        <f>'Formato 6 a)'!D15</f>
        <v>1627074.86</v>
      </c>
      <c r="S8" s="18">
        <f>'Formato 6 a)'!E15</f>
        <v>586706.32000000007</v>
      </c>
      <c r="T8" s="18">
        <f>'Formato 6 a)'!F15</f>
        <v>586706.32000000007</v>
      </c>
      <c r="U8" s="18">
        <f>'Formato 6 a)'!G15</f>
        <v>1040368.54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83783120.520000011</v>
      </c>
      <c r="Q11" s="18">
        <f>'Formato 6 a)'!C18</f>
        <v>-8241020.8200000059</v>
      </c>
      <c r="R11" s="18">
        <f>'Formato 6 a)'!D18</f>
        <v>75542099.699999988</v>
      </c>
      <c r="S11" s="18">
        <f>'Formato 6 a)'!E18</f>
        <v>22280970.789999995</v>
      </c>
      <c r="T11" s="18">
        <f>'Formato 6 a)'!F18</f>
        <v>22280970.789999995</v>
      </c>
      <c r="U11" s="18">
        <f>'Formato 6 a)'!G18</f>
        <v>53261128.909999996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1587800.7500000002</v>
      </c>
      <c r="Q12" s="18">
        <f>'Formato 6 a)'!C19</f>
        <v>-37915.179999999702</v>
      </c>
      <c r="R12" s="18">
        <f>'Formato 6 a)'!D19</f>
        <v>1549885.5700000005</v>
      </c>
      <c r="S12" s="18">
        <f>'Formato 6 a)'!E19</f>
        <v>750312.74</v>
      </c>
      <c r="T12" s="18">
        <f>'Formato 6 a)'!F19</f>
        <v>750312.74</v>
      </c>
      <c r="U12" s="18">
        <f>'Formato 6 a)'!G19</f>
        <v>799572.83000000054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364012.14</v>
      </c>
      <c r="Q13" s="18">
        <f>'Formato 6 a)'!C20</f>
        <v>-52000</v>
      </c>
      <c r="R13" s="18">
        <f>'Formato 6 a)'!D20</f>
        <v>312012.14</v>
      </c>
      <c r="S13" s="18">
        <f>'Formato 6 a)'!E20</f>
        <v>72361.88</v>
      </c>
      <c r="T13" s="18">
        <f>'Formato 6 a)'!F20</f>
        <v>72361.88</v>
      </c>
      <c r="U13" s="18">
        <f>'Formato 6 a)'!G20</f>
        <v>239650.26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29084003.93</v>
      </c>
      <c r="Q15" s="18">
        <f>'Formato 6 a)'!C22</f>
        <v>3251680.0800000019</v>
      </c>
      <c r="R15" s="18">
        <f>'Formato 6 a)'!D22</f>
        <v>32335684.010000002</v>
      </c>
      <c r="S15" s="18">
        <f>'Formato 6 a)'!E22</f>
        <v>9002507.0800000001</v>
      </c>
      <c r="T15" s="18">
        <f>'Formato 6 a)'!F22</f>
        <v>9002507.0800000001</v>
      </c>
      <c r="U15" s="18">
        <f>'Formato 6 a)'!G22</f>
        <v>23333176.93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38751266.740000002</v>
      </c>
      <c r="Q16" s="18">
        <f>'Formato 6 a)'!C23</f>
        <v>-10747182.24000001</v>
      </c>
      <c r="R16" s="18">
        <f>'Formato 6 a)'!D23</f>
        <v>28004084.499999993</v>
      </c>
      <c r="S16" s="18">
        <f>'Formato 6 a)'!E23</f>
        <v>8594000.4099999946</v>
      </c>
      <c r="T16" s="18">
        <f>'Formato 6 a)'!F23</f>
        <v>8594000.4099999946</v>
      </c>
      <c r="U16" s="18">
        <f>'Formato 6 a)'!G23</f>
        <v>19410084.089999996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10101370.370000001</v>
      </c>
      <c r="Q17" s="18">
        <f>'Formato 6 a)'!C24</f>
        <v>-471518.54999999888</v>
      </c>
      <c r="R17" s="18">
        <f>'Formato 6 a)'!D24</f>
        <v>9629851.8200000022</v>
      </c>
      <c r="S17" s="18">
        <f>'Formato 6 a)'!E24</f>
        <v>2841885.2800000003</v>
      </c>
      <c r="T17" s="18">
        <f>'Formato 6 a)'!F24</f>
        <v>2841885.2800000003</v>
      </c>
      <c r="U17" s="18">
        <f>'Formato 6 a)'!G24</f>
        <v>6787966.5400000019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1940410.02</v>
      </c>
      <c r="Q18" s="18">
        <f>'Formato 6 a)'!C25</f>
        <v>-117447.38999999966</v>
      </c>
      <c r="R18" s="18">
        <f>'Formato 6 a)'!D25</f>
        <v>1822962.6300000004</v>
      </c>
      <c r="S18" s="18">
        <f>'Formato 6 a)'!E25</f>
        <v>306875.35000000003</v>
      </c>
      <c r="T18" s="18">
        <f>'Formato 6 a)'!F25</f>
        <v>306875.35000000003</v>
      </c>
      <c r="U18" s="18">
        <f>'Formato 6 a)'!G25</f>
        <v>1516087.2800000003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1954256.5700000003</v>
      </c>
      <c r="Q20" s="18">
        <f>'Formato 6 a)'!C27</f>
        <v>-66637.540000000037</v>
      </c>
      <c r="R20" s="18">
        <f>'Formato 6 a)'!D27</f>
        <v>1887619.0300000003</v>
      </c>
      <c r="S20" s="18">
        <f>'Formato 6 a)'!E27</f>
        <v>713028.04999999993</v>
      </c>
      <c r="T20" s="18">
        <f>'Formato 6 a)'!F27</f>
        <v>713028.04999999993</v>
      </c>
      <c r="U20" s="18">
        <f>'Formato 6 a)'!G27</f>
        <v>1174590.9800000004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139719573.09999999</v>
      </c>
      <c r="Q21" s="18">
        <f>'Formato 6 a)'!C28</f>
        <v>989229.14000001037</v>
      </c>
      <c r="R21" s="18">
        <f>'Formato 6 a)'!D28</f>
        <v>140708802.24000001</v>
      </c>
      <c r="S21" s="18">
        <f>'Formato 6 a)'!E28</f>
        <v>64568540.719999984</v>
      </c>
      <c r="T21" s="18">
        <f>'Formato 6 a)'!F28</f>
        <v>64568540.719999984</v>
      </c>
      <c r="U21" s="18">
        <f>'Formato 6 a)'!G28</f>
        <v>76140261.520000041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80760468.25</v>
      </c>
      <c r="Q22" s="18">
        <f>'Formato 6 a)'!C29</f>
        <v>-594747.9999999851</v>
      </c>
      <c r="R22" s="18">
        <f>'Formato 6 a)'!D29</f>
        <v>80165720.250000015</v>
      </c>
      <c r="S22" s="18">
        <f>'Formato 6 a)'!E29</f>
        <v>39493307.929999992</v>
      </c>
      <c r="T22" s="18">
        <f>'Formato 6 a)'!F29</f>
        <v>39493307.929999992</v>
      </c>
      <c r="U22" s="18">
        <f>'Formato 6 a)'!G29</f>
        <v>40672412.320000023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3808682.9899999998</v>
      </c>
      <c r="Q23" s="18">
        <f>'Formato 6 a)'!C30</f>
        <v>-849999.99999999953</v>
      </c>
      <c r="R23" s="18">
        <f>'Formato 6 a)'!D30</f>
        <v>2958682.99</v>
      </c>
      <c r="S23" s="18">
        <f>'Formato 6 a)'!E30</f>
        <v>428873.37999999995</v>
      </c>
      <c r="T23" s="18">
        <f>'Formato 6 a)'!F30</f>
        <v>428873.37999999995</v>
      </c>
      <c r="U23" s="18">
        <f>'Formato 6 a)'!G30</f>
        <v>2529809.6100000003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7406208.5099999998</v>
      </c>
      <c r="Q24" s="18">
        <f>'Formato 6 a)'!C31</f>
        <v>1967602.9299999997</v>
      </c>
      <c r="R24" s="18">
        <f>'Formato 6 a)'!D31</f>
        <v>9373811.4399999995</v>
      </c>
      <c r="S24" s="18">
        <f>'Formato 6 a)'!E31</f>
        <v>2020568.5100000005</v>
      </c>
      <c r="T24" s="18">
        <f>'Formato 6 a)'!F31</f>
        <v>2020568.5100000005</v>
      </c>
      <c r="U24" s="18">
        <f>'Formato 6 a)'!G31</f>
        <v>7353242.9299999988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4472431.82</v>
      </c>
      <c r="Q25" s="18">
        <f>'Formato 6 a)'!C32</f>
        <v>0</v>
      </c>
      <c r="R25" s="18">
        <f>'Formato 6 a)'!D32</f>
        <v>4472431.82</v>
      </c>
      <c r="S25" s="18">
        <f>'Formato 6 a)'!E32</f>
        <v>1542894.5099999993</v>
      </c>
      <c r="T25" s="18">
        <f>'Formato 6 a)'!F32</f>
        <v>1542894.5099999993</v>
      </c>
      <c r="U25" s="18">
        <f>'Formato 6 a)'!G32</f>
        <v>2929537.310000001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10923319.480000002</v>
      </c>
      <c r="Q26" s="18">
        <f>'Formato 6 a)'!C33</f>
        <v>412099.99999999814</v>
      </c>
      <c r="R26" s="18">
        <f>'Formato 6 a)'!D33</f>
        <v>11335419.48</v>
      </c>
      <c r="S26" s="18">
        <f>'Formato 6 a)'!E33</f>
        <v>4315874.7199999979</v>
      </c>
      <c r="T26" s="18">
        <f>'Formato 6 a)'!F33</f>
        <v>4315874.7199999979</v>
      </c>
      <c r="U26" s="18">
        <f>'Formato 6 a)'!G33</f>
        <v>7019544.7600000026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2435649</v>
      </c>
      <c r="Q27" s="18">
        <f>'Formato 6 a)'!C34</f>
        <v>0</v>
      </c>
      <c r="R27" s="18">
        <f>'Formato 6 a)'!D34</f>
        <v>2435649</v>
      </c>
      <c r="S27" s="18">
        <f>'Formato 6 a)'!E34</f>
        <v>1586585.83</v>
      </c>
      <c r="T27" s="18">
        <f>'Formato 6 a)'!F34</f>
        <v>1586585.83</v>
      </c>
      <c r="U27" s="18">
        <f>'Formato 6 a)'!G34</f>
        <v>849063.16999999993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219271.07000000004</v>
      </c>
      <c r="Q28" s="18">
        <f>'Formato 6 a)'!C35</f>
        <v>0</v>
      </c>
      <c r="R28" s="18">
        <f>'Formato 6 a)'!D35</f>
        <v>219271.07000000004</v>
      </c>
      <c r="S28" s="18">
        <f>'Formato 6 a)'!E35</f>
        <v>2501.5500000000002</v>
      </c>
      <c r="T28" s="18">
        <f>'Formato 6 a)'!F35</f>
        <v>2501.5500000000002</v>
      </c>
      <c r="U28" s="18">
        <f>'Formato 6 a)'!G35</f>
        <v>216769.52000000005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379956.33999999997</v>
      </c>
      <c r="Q29" s="18">
        <f>'Formato 6 a)'!C36</f>
        <v>0</v>
      </c>
      <c r="R29" s="18">
        <f>'Formato 6 a)'!D36</f>
        <v>379956.33999999997</v>
      </c>
      <c r="S29" s="18">
        <f>'Formato 6 a)'!E36</f>
        <v>117129.68</v>
      </c>
      <c r="T29" s="18">
        <f>'Formato 6 a)'!F36</f>
        <v>117129.68</v>
      </c>
      <c r="U29" s="18">
        <f>'Formato 6 a)'!G36</f>
        <v>262826.65999999997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29313585.640000004</v>
      </c>
      <c r="Q30" s="18">
        <f>'Formato 6 a)'!C37</f>
        <v>54274.209999997169</v>
      </c>
      <c r="R30" s="18">
        <f>'Formato 6 a)'!D37</f>
        <v>29367859.850000001</v>
      </c>
      <c r="S30" s="18">
        <f>'Formato 6 a)'!E37</f>
        <v>15060804.609999999</v>
      </c>
      <c r="T30" s="18">
        <f>'Formato 6 a)'!F37</f>
        <v>15060804.609999999</v>
      </c>
      <c r="U30" s="18">
        <f>'Formato 6 a)'!G37</f>
        <v>14307055.240000002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746418.09999999986</v>
      </c>
      <c r="Q31" s="18">
        <f>'Formato 6 a)'!C38</f>
        <v>1251000</v>
      </c>
      <c r="R31" s="18">
        <f>'Formato 6 a)'!D38</f>
        <v>1997418.1</v>
      </c>
      <c r="S31" s="18">
        <f>'Formato 6 a)'!E38</f>
        <v>563470</v>
      </c>
      <c r="T31" s="18">
        <f>'Formato 6 a)'!F38</f>
        <v>563470</v>
      </c>
      <c r="U31" s="18">
        <f>'Formato 6 a)'!G38</f>
        <v>1433948.1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197418.1</v>
      </c>
      <c r="Q35" s="18">
        <f>'Formato 6 a)'!C42</f>
        <v>0</v>
      </c>
      <c r="R35" s="18">
        <f>'Formato 6 a)'!D42</f>
        <v>197418.1</v>
      </c>
      <c r="S35" s="18">
        <f>'Formato 6 a)'!E42</f>
        <v>63470</v>
      </c>
      <c r="T35" s="18">
        <f>'Formato 6 a)'!F42</f>
        <v>63470</v>
      </c>
      <c r="U35" s="18">
        <f>'Formato 6 a)'!G42</f>
        <v>133948.1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548999.99999999988</v>
      </c>
      <c r="Q39" s="18">
        <f>'Formato 6 a)'!C46</f>
        <v>1251000</v>
      </c>
      <c r="R39" s="18">
        <f>'Formato 6 a)'!D46</f>
        <v>1800000</v>
      </c>
      <c r="S39" s="18">
        <f>'Formato 6 a)'!E46</f>
        <v>500000</v>
      </c>
      <c r="T39" s="18">
        <f>'Formato 6 a)'!F46</f>
        <v>500000</v>
      </c>
      <c r="U39" s="18">
        <f>'Formato 6 a)'!G46</f>
        <v>1300000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25971180.350000001</v>
      </c>
      <c r="Q41" s="18">
        <f>'Formato 6 a)'!C48</f>
        <v>8091500.1700000018</v>
      </c>
      <c r="R41" s="18">
        <f>'Formato 6 a)'!D48</f>
        <v>34062680.520000003</v>
      </c>
      <c r="S41" s="18">
        <f>'Formato 6 a)'!E48</f>
        <v>14220617.640000002</v>
      </c>
      <c r="T41" s="18">
        <f>'Formato 6 a)'!F48</f>
        <v>14220617.640000002</v>
      </c>
      <c r="U41" s="18">
        <f>'Formato 6 a)'!G48</f>
        <v>19842062.879999999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326980.34999999998</v>
      </c>
      <c r="Q42" s="18">
        <f>'Formato 6 a)'!C49</f>
        <v>1443806.8000000003</v>
      </c>
      <c r="R42" s="18">
        <f>'Formato 6 a)'!D49</f>
        <v>1770787.1500000001</v>
      </c>
      <c r="S42" s="18">
        <f>'Formato 6 a)'!E49</f>
        <v>232753.74000000002</v>
      </c>
      <c r="T42" s="18">
        <f>'Formato 6 a)'!F49</f>
        <v>232753.74000000002</v>
      </c>
      <c r="U42" s="18">
        <f>'Formato 6 a)'!G49</f>
        <v>1538033.4100000001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77700</v>
      </c>
      <c r="Q43" s="18">
        <f>'Formato 6 a)'!C50</f>
        <v>0</v>
      </c>
      <c r="R43" s="18">
        <f>'Formato 6 a)'!D50</f>
        <v>77700</v>
      </c>
      <c r="S43" s="18">
        <f>'Formato 6 a)'!E50</f>
        <v>9220</v>
      </c>
      <c r="T43" s="18">
        <f>'Formato 6 a)'!F50</f>
        <v>9220</v>
      </c>
      <c r="U43" s="18">
        <f>'Formato 6 a)'!G50</f>
        <v>68480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360000</v>
      </c>
      <c r="Q45" s="18">
        <f>'Formato 6 a)'!C52</f>
        <v>700000</v>
      </c>
      <c r="R45" s="18">
        <f>'Formato 6 a)'!D52</f>
        <v>1060000</v>
      </c>
      <c r="S45" s="18">
        <f>'Formato 6 a)'!E52</f>
        <v>80585.98</v>
      </c>
      <c r="T45" s="18">
        <f>'Formato 6 a)'!F52</f>
        <v>80585.98</v>
      </c>
      <c r="U45" s="18">
        <f>'Formato 6 a)'!G52</f>
        <v>979414.02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24199000</v>
      </c>
      <c r="Q47" s="18">
        <f>'Formato 6 a)'!C54</f>
        <v>5952003.370000001</v>
      </c>
      <c r="R47" s="18">
        <f>'Formato 6 a)'!D54</f>
        <v>30151003.370000001</v>
      </c>
      <c r="S47" s="18">
        <f>'Formato 6 a)'!E54</f>
        <v>13894867.920000002</v>
      </c>
      <c r="T47" s="18">
        <f>'Formato 6 a)'!F54</f>
        <v>13894867.920000002</v>
      </c>
      <c r="U47" s="18">
        <f>'Formato 6 a)'!G54</f>
        <v>16256135.449999999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999999.99999999988</v>
      </c>
      <c r="Q49" s="18">
        <f>'Formato 6 a)'!C56</f>
        <v>0</v>
      </c>
      <c r="R49" s="18">
        <f>'Formato 6 a)'!D56</f>
        <v>999999.99999999988</v>
      </c>
      <c r="S49" s="18">
        <f>'Formato 6 a)'!E56</f>
        <v>0</v>
      </c>
      <c r="T49" s="18">
        <f>'Formato 6 a)'!F56</f>
        <v>0</v>
      </c>
      <c r="U49" s="18">
        <f>'Formato 6 a)'!G56</f>
        <v>999999.99999999988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7500</v>
      </c>
      <c r="Q50" s="18">
        <f>'Formato 6 a)'!C57</f>
        <v>-4310</v>
      </c>
      <c r="R50" s="18">
        <f>'Formato 6 a)'!D57</f>
        <v>3190</v>
      </c>
      <c r="S50" s="18">
        <f>'Formato 6 a)'!E57</f>
        <v>3190</v>
      </c>
      <c r="T50" s="18">
        <f>'Formato 6 a)'!F57</f>
        <v>3190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226589861.25</v>
      </c>
      <c r="Q51" s="18">
        <f>'Formato 6 a)'!C58</f>
        <v>5829384.0500000082</v>
      </c>
      <c r="R51" s="18">
        <f>'Formato 6 a)'!D58</f>
        <v>232419245.30000001</v>
      </c>
      <c r="S51" s="18">
        <f>'Formato 6 a)'!E58</f>
        <v>42389069.160000026</v>
      </c>
      <c r="T51" s="18">
        <f>'Formato 6 a)'!F58</f>
        <v>42265763.040000029</v>
      </c>
      <c r="U51" s="18">
        <f>'Formato 6 a)'!G58</f>
        <v>190030176.13999996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201371264.06999999</v>
      </c>
      <c r="Q52" s="18">
        <f>'Formato 6 a)'!C59</f>
        <v>14672234.710000008</v>
      </c>
      <c r="R52" s="18">
        <f>'Formato 6 a)'!D59</f>
        <v>216043498.78</v>
      </c>
      <c r="S52" s="18">
        <f>'Formato 6 a)'!E59</f>
        <v>38900649.860000029</v>
      </c>
      <c r="T52" s="18">
        <f>'Formato 6 a)'!F59</f>
        <v>38777343.740000032</v>
      </c>
      <c r="U52" s="18">
        <f>'Formato 6 a)'!G59</f>
        <v>177142848.91999996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25218597.18</v>
      </c>
      <c r="Q53" s="18">
        <f>'Formato 6 a)'!C60</f>
        <v>-8842850.6600000001</v>
      </c>
      <c r="R53" s="18">
        <f>'Formato 6 a)'!D60</f>
        <v>16375746.52</v>
      </c>
      <c r="S53" s="18">
        <f>'Formato 6 a)'!E60</f>
        <v>3488419.3</v>
      </c>
      <c r="T53" s="18">
        <f>'Formato 6 a)'!F60</f>
        <v>3488419.3</v>
      </c>
      <c r="U53" s="18">
        <f>'Formato 6 a)'!G60</f>
        <v>12887327.219999999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52862648.439999998</v>
      </c>
      <c r="Q55" s="18">
        <f>'Formato 6 a)'!C62</f>
        <v>130144931.16000003</v>
      </c>
      <c r="R55" s="18">
        <f>'Formato 6 a)'!D62</f>
        <v>183007579.60000002</v>
      </c>
      <c r="S55" s="18">
        <f>'Formato 6 a)'!E62</f>
        <v>41424236.490000002</v>
      </c>
      <c r="T55" s="18">
        <f>'Formato 6 a)'!F62</f>
        <v>41424236.490000002</v>
      </c>
      <c r="U55" s="18">
        <f>'Formato 6 a)'!G62</f>
        <v>141583343.11000001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52862648.439999998</v>
      </c>
      <c r="Q59" s="18">
        <f>'Formato 6 a)'!C66</f>
        <v>-4884648.4399999976</v>
      </c>
      <c r="R59" s="18">
        <f>'Formato 6 a)'!D66</f>
        <v>47978000</v>
      </c>
      <c r="S59" s="18">
        <f>'Formato 6 a)'!E66</f>
        <v>41424236.490000002</v>
      </c>
      <c r="T59" s="18">
        <f>'Formato 6 a)'!F66</f>
        <v>41424236.490000002</v>
      </c>
      <c r="U59" s="18">
        <f>'Formato 6 a)'!G66</f>
        <v>6553763.5099999979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135029579.60000002</v>
      </c>
      <c r="R63" s="18">
        <f>'Formato 6 a)'!D70</f>
        <v>135029579.60000002</v>
      </c>
      <c r="S63" s="18">
        <f>'Formato 6 a)'!E70</f>
        <v>0</v>
      </c>
      <c r="T63" s="18">
        <f>'Formato 6 a)'!F70</f>
        <v>0</v>
      </c>
      <c r="U63" s="18">
        <f>'Formato 6 a)'!G70</f>
        <v>135029579.60000002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18138299.300000001</v>
      </c>
      <c r="R64" s="18">
        <f>'Formato 6 a)'!D71</f>
        <v>18138299.300000001</v>
      </c>
      <c r="S64" s="18">
        <f>'Formato 6 a)'!E71</f>
        <v>0</v>
      </c>
      <c r="T64" s="18">
        <f>'Formato 6 a)'!F71</f>
        <v>0</v>
      </c>
      <c r="U64" s="18">
        <f>'Formato 6 a)'!G71</f>
        <v>18138299.300000001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18138299.300000001</v>
      </c>
      <c r="R67" s="18">
        <f>'Formato 6 a)'!D74</f>
        <v>18138299.300000001</v>
      </c>
      <c r="S67" s="18">
        <f>'Formato 6 a)'!E74</f>
        <v>0</v>
      </c>
      <c r="T67" s="18">
        <f>'Formato 6 a)'!F74</f>
        <v>0</v>
      </c>
      <c r="U67" s="18">
        <f>'Formato 6 a)'!G74</f>
        <v>18138299.300000001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172598064.80000001</v>
      </c>
      <c r="Q76">
        <f>'Formato 6 a)'!C84</f>
        <v>-49554192.040000014</v>
      </c>
      <c r="R76">
        <f>'Formato 6 a)'!D84</f>
        <v>123043872.75999999</v>
      </c>
      <c r="S76">
        <f>'Formato 6 a)'!E84</f>
        <v>53116177.5</v>
      </c>
      <c r="T76">
        <f>'Formato 6 a)'!F84</f>
        <v>53116177.5</v>
      </c>
      <c r="U76">
        <f>'Formato 6 a)'!G84</f>
        <v>69927695.259999976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4000000</v>
      </c>
      <c r="Q85">
        <f>'Formato 6 a)'!C93</f>
        <v>2474938.81</v>
      </c>
      <c r="R85">
        <f>'Formato 6 a)'!D93</f>
        <v>6474938.8100000005</v>
      </c>
      <c r="S85">
        <f>'Formato 6 a)'!E93</f>
        <v>3997197.6</v>
      </c>
      <c r="T85">
        <f>'Formato 6 a)'!F93</f>
        <v>3997197.6</v>
      </c>
      <c r="U85">
        <f>'Formato 6 a)'!G93</f>
        <v>2477741.21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4000000</v>
      </c>
      <c r="Q89">
        <f>'Formato 6 a)'!C97</f>
        <v>2070092.12</v>
      </c>
      <c r="R89">
        <f>'Formato 6 a)'!D97</f>
        <v>6070092.1200000001</v>
      </c>
      <c r="S89">
        <f>'Formato 6 a)'!E97</f>
        <v>3900653.12</v>
      </c>
      <c r="T89">
        <f>'Formato 6 a)'!F97</f>
        <v>3900653.12</v>
      </c>
      <c r="U89">
        <f>'Formato 6 a)'!G97</f>
        <v>2169439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389766.69</v>
      </c>
      <c r="R90">
        <f>'Formato 6 a)'!D98</f>
        <v>389766.69</v>
      </c>
      <c r="S90">
        <f>'Formato 6 a)'!E98</f>
        <v>81464.479999999996</v>
      </c>
      <c r="T90">
        <f>'Formato 6 a)'!F98</f>
        <v>81464.479999999996</v>
      </c>
      <c r="U90">
        <f>'Formato 6 a)'!G98</f>
        <v>308302.21000000002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15080</v>
      </c>
      <c r="R94">
        <f>'Formato 6 a)'!D102</f>
        <v>15080</v>
      </c>
      <c r="S94">
        <f>'Formato 6 a)'!E102</f>
        <v>15080</v>
      </c>
      <c r="T94">
        <f>'Formato 6 a)'!F102</f>
        <v>15080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4000000</v>
      </c>
      <c r="Q115">
        <f>'Formato 6 a)'!C123</f>
        <v>-363314.77</v>
      </c>
      <c r="R115">
        <f>'Formato 6 a)'!D123</f>
        <v>3636685.23</v>
      </c>
      <c r="S115">
        <f>'Formato 6 a)'!E123</f>
        <v>3636685.24</v>
      </c>
      <c r="T115">
        <f>'Formato 6 a)'!F123</f>
        <v>3636685.24</v>
      </c>
      <c r="U115">
        <f>'Formato 6 a)'!G123</f>
        <v>-1.0000000242143869E-2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4000000</v>
      </c>
      <c r="Q121">
        <f>'Formato 6 a)'!C129</f>
        <v>-363314.77</v>
      </c>
      <c r="R121">
        <f>'Formato 6 a)'!D129</f>
        <v>3636685.23</v>
      </c>
      <c r="S121">
        <f>'Formato 6 a)'!E129</f>
        <v>3636685.24</v>
      </c>
      <c r="T121">
        <f>'Formato 6 a)'!F129</f>
        <v>3636685.24</v>
      </c>
      <c r="U121">
        <f>'Formato 6 a)'!G129</f>
        <v>-1.0000000242143869E-2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164598064.80000001</v>
      </c>
      <c r="Q125">
        <f>'Formato 6 a)'!C133</f>
        <v>-51665816.080000013</v>
      </c>
      <c r="R125">
        <f>'Formato 6 a)'!D133</f>
        <v>112932248.71999998</v>
      </c>
      <c r="S125">
        <f>'Formato 6 a)'!E133</f>
        <v>45482294.660000004</v>
      </c>
      <c r="T125">
        <f>'Formato 6 a)'!F133</f>
        <v>45482294.660000004</v>
      </c>
      <c r="U125">
        <f>'Formato 6 a)'!G133</f>
        <v>67449954.059999973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144481931.65000001</v>
      </c>
      <c r="Q126">
        <f>'Formato 6 a)'!C134</f>
        <v>-43896309.76000002</v>
      </c>
      <c r="R126">
        <f>'Formato 6 a)'!D134</f>
        <v>100585621.88999999</v>
      </c>
      <c r="S126">
        <f>'Formato 6 a)'!E134</f>
        <v>37424976.560000002</v>
      </c>
      <c r="T126">
        <f>'Formato 6 a)'!F134</f>
        <v>37424976.560000002</v>
      </c>
      <c r="U126">
        <f>'Formato 6 a)'!G134</f>
        <v>63160645.329999983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20116133.149999995</v>
      </c>
      <c r="Q127">
        <f>'Formato 6 a)'!C135</f>
        <v>-7769506.3199999947</v>
      </c>
      <c r="R127">
        <f>'Formato 6 a)'!D135</f>
        <v>12346626.83</v>
      </c>
      <c r="S127">
        <f>'Formato 6 a)'!E135</f>
        <v>8057318.1000000043</v>
      </c>
      <c r="T127">
        <f>'Formato 6 a)'!F135</f>
        <v>8057318.1000000043</v>
      </c>
      <c r="U127">
        <f>'Formato 6 a)'!G135</f>
        <v>4289308.7299999958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820567681.25407314</v>
      </c>
      <c r="Q150">
        <f>'Formato 6 a)'!C159</f>
        <v>106649130.965927</v>
      </c>
      <c r="R150">
        <f>'Formato 6 a)'!D159</f>
        <v>927216812.21999991</v>
      </c>
      <c r="S150">
        <f>'Formato 6 a)'!E159</f>
        <v>287927081.91000003</v>
      </c>
      <c r="T150">
        <f>'Formato 6 a)'!F159</f>
        <v>287803775.79000002</v>
      </c>
      <c r="U150">
        <f>'Formato 6 a)'!G159</f>
        <v>639289730.30999994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105"/>
  <sheetViews>
    <sheetView showGridLines="0" topLeftCell="A66" zoomScale="80" zoomScaleNormal="80" zoomScalePageLayoutView="80" workbookViewId="0">
      <selection activeCell="D103" sqref="D103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6" t="s">
        <v>3282</v>
      </c>
      <c r="B1" s="176"/>
      <c r="C1" s="176"/>
      <c r="D1" s="176"/>
      <c r="E1" s="176"/>
      <c r="F1" s="176"/>
      <c r="G1" s="176"/>
    </row>
    <row r="2" spans="1:7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0" t="s">
        <v>277</v>
      </c>
      <c r="B3" s="161"/>
      <c r="C3" s="161"/>
      <c r="D3" s="161"/>
      <c r="E3" s="161"/>
      <c r="F3" s="161"/>
      <c r="G3" s="162"/>
    </row>
    <row r="4" spans="1:7" x14ac:dyDescent="0.25">
      <c r="A4" s="160" t="s">
        <v>431</v>
      </c>
      <c r="B4" s="161"/>
      <c r="C4" s="161"/>
      <c r="D4" s="161"/>
      <c r="E4" s="161"/>
      <c r="F4" s="161"/>
      <c r="G4" s="162"/>
    </row>
    <row r="5" spans="1:7" x14ac:dyDescent="0.25">
      <c r="A5" s="163" t="str">
        <f>TRIMESTRE</f>
        <v>Del 1 de enero al 30 de junio de 2020 (b)</v>
      </c>
      <c r="B5" s="164"/>
      <c r="C5" s="164"/>
      <c r="D5" s="164"/>
      <c r="E5" s="164"/>
      <c r="F5" s="164"/>
      <c r="G5" s="165"/>
    </row>
    <row r="6" spans="1:7" x14ac:dyDescent="0.2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72" t="s">
        <v>0</v>
      </c>
      <c r="B7" s="174" t="s">
        <v>279</v>
      </c>
      <c r="C7" s="174"/>
      <c r="D7" s="174"/>
      <c r="E7" s="174"/>
      <c r="F7" s="174"/>
      <c r="G7" s="178" t="s">
        <v>280</v>
      </c>
    </row>
    <row r="8" spans="1:7" ht="30" x14ac:dyDescent="0.25">
      <c r="A8" s="173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7"/>
    </row>
    <row r="9" spans="1:7" x14ac:dyDescent="0.25">
      <c r="A9" s="52" t="s">
        <v>432</v>
      </c>
      <c r="B9" s="59">
        <f>SUM(B10:GASTO_NE_FIN_01)</f>
        <v>647969616.45407307</v>
      </c>
      <c r="C9" s="59">
        <f>SUM(C10:GASTO_NE_FIN_02)</f>
        <v>156203323.00592712</v>
      </c>
      <c r="D9" s="59">
        <f>SUM(D10:GASTO_NE_FIN_03)</f>
        <v>804172939.46000004</v>
      </c>
      <c r="E9" s="59">
        <f>SUM(E10:GASTO_NE_FIN_04)</f>
        <v>234810904.41000003</v>
      </c>
      <c r="F9" s="59">
        <f>SUM(F10:GASTO_NE_FIN_05)</f>
        <v>234687598.29000005</v>
      </c>
      <c r="G9" s="59">
        <f>SUM(G10:GASTO_NE_FIN_06)</f>
        <v>569362035.05000019</v>
      </c>
    </row>
    <row r="10" spans="1:7" s="24" customFormat="1" x14ac:dyDescent="0.25">
      <c r="A10" s="144" t="s">
        <v>3297</v>
      </c>
      <c r="B10" s="60">
        <v>2155577.8017499996</v>
      </c>
      <c r="C10" s="60">
        <v>1244680.4882500004</v>
      </c>
      <c r="D10" s="60">
        <v>3400258.29</v>
      </c>
      <c r="E10" s="60">
        <v>1162786.3099999994</v>
      </c>
      <c r="F10" s="60">
        <v>1162786.3099999994</v>
      </c>
      <c r="G10" s="77">
        <f>D10-E10</f>
        <v>2237471.9800000004</v>
      </c>
    </row>
    <row r="11" spans="1:7" s="24" customFormat="1" x14ac:dyDescent="0.25">
      <c r="A11" s="144" t="s">
        <v>3298</v>
      </c>
      <c r="B11" s="60">
        <v>2699990.6444199993</v>
      </c>
      <c r="C11" s="60">
        <v>368816.14558000024</v>
      </c>
      <c r="D11" s="60">
        <v>3068806.7899999996</v>
      </c>
      <c r="E11" s="60">
        <v>1525528.9300000002</v>
      </c>
      <c r="F11" s="60">
        <v>1525528.9300000002</v>
      </c>
      <c r="G11" s="77">
        <f t="shared" ref="G11:G47" si="0">D11-E11</f>
        <v>1543277.8599999994</v>
      </c>
    </row>
    <row r="12" spans="1:7" s="24" customFormat="1" x14ac:dyDescent="0.25">
      <c r="A12" s="144" t="s">
        <v>3299</v>
      </c>
      <c r="B12" s="60">
        <v>4311550.2868300006</v>
      </c>
      <c r="C12" s="60">
        <v>-3324.9968299996108</v>
      </c>
      <c r="D12" s="60">
        <v>4308225.290000001</v>
      </c>
      <c r="E12" s="60">
        <v>1751021.2200000002</v>
      </c>
      <c r="F12" s="60">
        <v>1751021.2200000002</v>
      </c>
      <c r="G12" s="77">
        <f t="shared" ref="G12:G28" si="1">D12-E12</f>
        <v>2557204.0700000008</v>
      </c>
    </row>
    <row r="13" spans="1:7" s="24" customFormat="1" x14ac:dyDescent="0.25">
      <c r="A13" s="144" t="s">
        <v>3300</v>
      </c>
      <c r="B13" s="60">
        <v>54275705.387329996</v>
      </c>
      <c r="C13" s="60">
        <v>-4889202.8473299965</v>
      </c>
      <c r="D13" s="60">
        <v>49386502.539999999</v>
      </c>
      <c r="E13" s="60">
        <v>41998018.319999978</v>
      </c>
      <c r="F13" s="60">
        <v>41998018.319999978</v>
      </c>
      <c r="G13" s="77">
        <f t="shared" si="1"/>
        <v>7388484.2200000212</v>
      </c>
    </row>
    <row r="14" spans="1:7" s="24" customFormat="1" x14ac:dyDescent="0.25">
      <c r="A14" s="144" t="s">
        <v>3301</v>
      </c>
      <c r="B14" s="60">
        <v>5771394.4863299998</v>
      </c>
      <c r="C14" s="60">
        <v>392176.32366999984</v>
      </c>
      <c r="D14" s="60">
        <v>6163570.8099999996</v>
      </c>
      <c r="E14" s="60">
        <v>2624383.5000000014</v>
      </c>
      <c r="F14" s="60">
        <v>2624383.5000000014</v>
      </c>
      <c r="G14" s="77">
        <f t="shared" si="1"/>
        <v>3539187.3099999982</v>
      </c>
    </row>
    <row r="15" spans="1:7" s="24" customFormat="1" x14ac:dyDescent="0.25">
      <c r="A15" s="144" t="s">
        <v>3302</v>
      </c>
      <c r="B15" s="60">
        <v>670915.19150000007</v>
      </c>
      <c r="C15" s="60">
        <v>-1.500000013038516E-3</v>
      </c>
      <c r="D15" s="60">
        <v>670915.19000000006</v>
      </c>
      <c r="E15" s="60">
        <v>285965.38999999996</v>
      </c>
      <c r="F15" s="60">
        <v>285965.38999999996</v>
      </c>
      <c r="G15" s="77">
        <f t="shared" si="1"/>
        <v>384949.8000000001</v>
      </c>
    </row>
    <row r="16" spans="1:7" s="24" customFormat="1" x14ac:dyDescent="0.25">
      <c r="A16" s="144" t="s">
        <v>3303</v>
      </c>
      <c r="B16" s="60">
        <v>2944958.6448300001</v>
      </c>
      <c r="C16" s="60">
        <v>-238091.63482999988</v>
      </c>
      <c r="D16" s="60">
        <v>2706867.0100000002</v>
      </c>
      <c r="E16" s="60">
        <v>890031.22000000009</v>
      </c>
      <c r="F16" s="60">
        <v>890031.22000000009</v>
      </c>
      <c r="G16" s="77">
        <f t="shared" si="1"/>
        <v>1816835.79</v>
      </c>
    </row>
    <row r="17" spans="1:7" s="24" customFormat="1" x14ac:dyDescent="0.25">
      <c r="A17" s="144" t="s">
        <v>3304</v>
      </c>
      <c r="B17" s="60">
        <v>4485954.9113330003</v>
      </c>
      <c r="C17" s="60">
        <v>-1.3330001384019852E-3</v>
      </c>
      <c r="D17" s="60">
        <v>4485954.91</v>
      </c>
      <c r="E17" s="60">
        <v>2515373.5199999996</v>
      </c>
      <c r="F17" s="60">
        <v>2515373.5199999996</v>
      </c>
      <c r="G17" s="77">
        <f t="shared" si="1"/>
        <v>1970581.3900000006</v>
      </c>
    </row>
    <row r="18" spans="1:7" s="24" customFormat="1" x14ac:dyDescent="0.25">
      <c r="A18" s="144" t="s">
        <v>3305</v>
      </c>
      <c r="B18" s="60">
        <v>1621700.3017499996</v>
      </c>
      <c r="C18" s="60">
        <v>-35178.881749999942</v>
      </c>
      <c r="D18" s="60">
        <v>1586521.4199999997</v>
      </c>
      <c r="E18" s="60">
        <v>591799.43000000005</v>
      </c>
      <c r="F18" s="60">
        <v>591799.43000000005</v>
      </c>
      <c r="G18" s="77">
        <f t="shared" si="1"/>
        <v>994721.98999999964</v>
      </c>
    </row>
    <row r="19" spans="1:7" s="24" customFormat="1" x14ac:dyDescent="0.25">
      <c r="A19" s="144" t="s">
        <v>3306</v>
      </c>
      <c r="B19" s="60">
        <v>1966720.0715000003</v>
      </c>
      <c r="C19" s="60">
        <v>-154223.68150000041</v>
      </c>
      <c r="D19" s="60">
        <v>1812496.39</v>
      </c>
      <c r="E19" s="60">
        <v>890505.97</v>
      </c>
      <c r="F19" s="60">
        <v>890505.97</v>
      </c>
      <c r="G19" s="77">
        <f t="shared" si="1"/>
        <v>921990.41999999993</v>
      </c>
    </row>
    <row r="20" spans="1:7" s="24" customFormat="1" x14ac:dyDescent="0.25">
      <c r="A20" s="144" t="s">
        <v>3307</v>
      </c>
      <c r="B20" s="60">
        <v>967334.86307999992</v>
      </c>
      <c r="C20" s="60">
        <v>-103285.34308000014</v>
      </c>
      <c r="D20" s="60">
        <v>864049.51999999979</v>
      </c>
      <c r="E20" s="60">
        <v>19793.68</v>
      </c>
      <c r="F20" s="60">
        <v>19793.68</v>
      </c>
      <c r="G20" s="77">
        <f t="shared" si="1"/>
        <v>844255.83999999973</v>
      </c>
    </row>
    <row r="21" spans="1:7" s="24" customFormat="1" x14ac:dyDescent="0.25">
      <c r="A21" s="144" t="s">
        <v>3308</v>
      </c>
      <c r="B21" s="60">
        <v>2155492.0795799997</v>
      </c>
      <c r="C21" s="60">
        <v>-5968.9995799995959</v>
      </c>
      <c r="D21" s="60">
        <v>2149523.08</v>
      </c>
      <c r="E21" s="60">
        <v>769781.48999999976</v>
      </c>
      <c r="F21" s="60">
        <v>769781.48999999976</v>
      </c>
      <c r="G21" s="77">
        <f t="shared" si="1"/>
        <v>1379741.5900000003</v>
      </c>
    </row>
    <row r="22" spans="1:7" s="24" customFormat="1" x14ac:dyDescent="0.25">
      <c r="A22" s="144" t="s">
        <v>3309</v>
      </c>
      <c r="B22" s="60">
        <v>8427285.1999999993</v>
      </c>
      <c r="C22" s="60">
        <v>-100678.44000000041</v>
      </c>
      <c r="D22" s="60">
        <v>8326606.7599999988</v>
      </c>
      <c r="E22" s="60">
        <v>3363016.3799999994</v>
      </c>
      <c r="F22" s="60">
        <v>3363016.3799999994</v>
      </c>
      <c r="G22" s="77">
        <f t="shared" si="1"/>
        <v>4963590.379999999</v>
      </c>
    </row>
    <row r="23" spans="1:7" s="24" customFormat="1" x14ac:dyDescent="0.25">
      <c r="A23" s="144" t="s">
        <v>3310</v>
      </c>
      <c r="B23" s="60">
        <v>8174635.5433300007</v>
      </c>
      <c r="C23" s="60">
        <v>-206487.81333000027</v>
      </c>
      <c r="D23" s="60">
        <v>7968147.7300000004</v>
      </c>
      <c r="E23" s="60">
        <v>3528744.6100000013</v>
      </c>
      <c r="F23" s="60">
        <v>3528744.6100000013</v>
      </c>
      <c r="G23" s="77">
        <f t="shared" si="1"/>
        <v>4439403.1199999992</v>
      </c>
    </row>
    <row r="24" spans="1:7" s="24" customFormat="1" x14ac:dyDescent="0.25">
      <c r="A24" s="144" t="s">
        <v>3311</v>
      </c>
      <c r="B24" s="60">
        <v>2633604.3075800007</v>
      </c>
      <c r="C24" s="60">
        <v>1083497.0124199996</v>
      </c>
      <c r="D24" s="60">
        <v>3717101.3200000003</v>
      </c>
      <c r="E24" s="60">
        <v>970611.42999999993</v>
      </c>
      <c r="F24" s="60">
        <v>970611.42999999993</v>
      </c>
      <c r="G24" s="77">
        <f t="shared" si="1"/>
        <v>2746489.8900000006</v>
      </c>
    </row>
    <row r="25" spans="1:7" s="24" customFormat="1" x14ac:dyDescent="0.25">
      <c r="A25" s="144" t="s">
        <v>3312</v>
      </c>
      <c r="B25" s="60">
        <v>7015339.3590799998</v>
      </c>
      <c r="C25" s="60">
        <v>939954.73092</v>
      </c>
      <c r="D25" s="60">
        <v>7955294.0899999999</v>
      </c>
      <c r="E25" s="60">
        <v>2851689.6499999994</v>
      </c>
      <c r="F25" s="60">
        <v>2851689.6499999994</v>
      </c>
      <c r="G25" s="77">
        <f t="shared" si="1"/>
        <v>5103604.4400000004</v>
      </c>
    </row>
    <row r="26" spans="1:7" s="24" customFormat="1" x14ac:dyDescent="0.25">
      <c r="A26" s="144" t="s">
        <v>3313</v>
      </c>
      <c r="B26" s="60">
        <v>1687636.0984199999</v>
      </c>
      <c r="C26" s="60">
        <v>67248.001579999924</v>
      </c>
      <c r="D26" s="60">
        <v>1754884.0999999999</v>
      </c>
      <c r="E26" s="60">
        <v>788256.8899999999</v>
      </c>
      <c r="F26" s="60">
        <v>788256.8899999999</v>
      </c>
      <c r="G26" s="77">
        <f t="shared" si="1"/>
        <v>966627.21</v>
      </c>
    </row>
    <row r="27" spans="1:7" s="24" customFormat="1" x14ac:dyDescent="0.25">
      <c r="A27" s="144" t="s">
        <v>3314</v>
      </c>
      <c r="B27" s="60">
        <v>1944518.5210800003</v>
      </c>
      <c r="C27" s="60">
        <v>-94966.601080000168</v>
      </c>
      <c r="D27" s="60">
        <v>1849551.9200000002</v>
      </c>
      <c r="E27" s="60">
        <v>546751.74</v>
      </c>
      <c r="F27" s="60">
        <v>546751.74</v>
      </c>
      <c r="G27" s="77">
        <f t="shared" si="1"/>
        <v>1302800.1800000002</v>
      </c>
    </row>
    <row r="28" spans="1:7" s="24" customFormat="1" x14ac:dyDescent="0.25">
      <c r="A28" s="144" t="s">
        <v>3315</v>
      </c>
      <c r="B28" s="60">
        <v>2561707.4096700004</v>
      </c>
      <c r="C28" s="60">
        <v>-7685.9296699999832</v>
      </c>
      <c r="D28" s="60">
        <v>2554021.4800000004</v>
      </c>
      <c r="E28" s="60">
        <v>993590.32000000007</v>
      </c>
      <c r="F28" s="60">
        <v>993590.32000000007</v>
      </c>
      <c r="G28" s="77">
        <f t="shared" si="1"/>
        <v>1560431.1600000004</v>
      </c>
    </row>
    <row r="29" spans="1:7" s="24" customFormat="1" x14ac:dyDescent="0.25">
      <c r="A29" s="144" t="s">
        <v>3316</v>
      </c>
      <c r="B29" s="60">
        <v>3937557.2023299988</v>
      </c>
      <c r="C29" s="60">
        <v>152053.18767000129</v>
      </c>
      <c r="D29" s="60">
        <v>4089610.39</v>
      </c>
      <c r="E29" s="60">
        <v>1556726.66</v>
      </c>
      <c r="F29" s="60">
        <v>1556726.66</v>
      </c>
      <c r="G29" s="77">
        <f t="shared" si="0"/>
        <v>2532883.7300000004</v>
      </c>
    </row>
    <row r="30" spans="1:7" s="24" customFormat="1" x14ac:dyDescent="0.25">
      <c r="A30" s="144" t="s">
        <v>3317</v>
      </c>
      <c r="B30" s="60">
        <v>1718504.4312499999</v>
      </c>
      <c r="C30" s="60">
        <v>-16775.031250000233</v>
      </c>
      <c r="D30" s="60">
        <v>1701729.3999999997</v>
      </c>
      <c r="E30" s="60">
        <v>699182.11000000022</v>
      </c>
      <c r="F30" s="60">
        <v>699182.11000000022</v>
      </c>
      <c r="G30" s="77">
        <f t="shared" si="0"/>
        <v>1002547.2899999995</v>
      </c>
    </row>
    <row r="31" spans="1:7" s="24" customFormat="1" x14ac:dyDescent="0.25">
      <c r="A31" s="144" t="s">
        <v>3318</v>
      </c>
      <c r="B31" s="60">
        <v>3191923.0402500005</v>
      </c>
      <c r="C31" s="60">
        <v>-23950.510249999817</v>
      </c>
      <c r="D31" s="60">
        <v>3167972.5300000007</v>
      </c>
      <c r="E31" s="60">
        <v>1416697.01</v>
      </c>
      <c r="F31" s="60">
        <v>1416697.01</v>
      </c>
      <c r="G31" s="77">
        <f t="shared" si="0"/>
        <v>1751275.5200000007</v>
      </c>
    </row>
    <row r="32" spans="1:7" s="24" customFormat="1" x14ac:dyDescent="0.25">
      <c r="A32" s="144" t="s">
        <v>3319</v>
      </c>
      <c r="B32" s="60">
        <v>14597527.275829999</v>
      </c>
      <c r="C32" s="60">
        <v>557202.89416999742</v>
      </c>
      <c r="D32" s="60">
        <v>15154730.169999996</v>
      </c>
      <c r="E32" s="60">
        <v>2003400.3699999996</v>
      </c>
      <c r="F32" s="60">
        <v>2003400.3699999996</v>
      </c>
      <c r="G32" s="77">
        <f t="shared" si="0"/>
        <v>13151329.799999997</v>
      </c>
    </row>
    <row r="33" spans="1:7" s="24" customFormat="1" x14ac:dyDescent="0.25">
      <c r="A33" s="144" t="s">
        <v>3320</v>
      </c>
      <c r="B33" s="60">
        <v>6236699.6790800001</v>
      </c>
      <c r="C33" s="60">
        <v>-32804.849080000073</v>
      </c>
      <c r="D33" s="60">
        <v>6203894.8300000001</v>
      </c>
      <c r="E33" s="60">
        <v>2475854.98</v>
      </c>
      <c r="F33" s="60">
        <v>2475854.98</v>
      </c>
      <c r="G33" s="77">
        <f t="shared" si="0"/>
        <v>3728039.85</v>
      </c>
    </row>
    <row r="34" spans="1:7" s="24" customFormat="1" x14ac:dyDescent="0.25">
      <c r="A34" s="144" t="s">
        <v>3321</v>
      </c>
      <c r="B34" s="60">
        <v>1011292.7830799998</v>
      </c>
      <c r="C34" s="60">
        <v>517002.01691999997</v>
      </c>
      <c r="D34" s="60">
        <v>1528294.7999999998</v>
      </c>
      <c r="E34" s="60">
        <v>672090.09000000008</v>
      </c>
      <c r="F34" s="60">
        <v>672090.09000000008</v>
      </c>
      <c r="G34" s="77">
        <f t="shared" si="0"/>
        <v>856204.70999999973</v>
      </c>
    </row>
    <row r="35" spans="1:7" s="24" customFormat="1" x14ac:dyDescent="0.25">
      <c r="A35" s="144" t="s">
        <v>3322</v>
      </c>
      <c r="B35" s="60">
        <v>23993436.71508</v>
      </c>
      <c r="C35" s="60">
        <v>901767.72492000088</v>
      </c>
      <c r="D35" s="60">
        <v>24895204.440000001</v>
      </c>
      <c r="E35" s="60">
        <v>12387402.610000001</v>
      </c>
      <c r="F35" s="60">
        <v>12387402.610000001</v>
      </c>
      <c r="G35" s="77">
        <f t="shared" si="0"/>
        <v>12507801.83</v>
      </c>
    </row>
    <row r="36" spans="1:7" s="24" customFormat="1" x14ac:dyDescent="0.25">
      <c r="A36" s="144" t="s">
        <v>3323</v>
      </c>
      <c r="B36" s="60">
        <v>5036397.3395800004</v>
      </c>
      <c r="C36" s="60">
        <v>-140949.80958000105</v>
      </c>
      <c r="D36" s="60">
        <v>4895447.5299999993</v>
      </c>
      <c r="E36" s="60">
        <v>2024812.2500000002</v>
      </c>
      <c r="F36" s="60">
        <v>2024812.2500000002</v>
      </c>
      <c r="G36" s="77">
        <f t="shared" si="0"/>
        <v>2870635.2799999993</v>
      </c>
    </row>
    <row r="37" spans="1:7" s="24" customFormat="1" x14ac:dyDescent="0.25">
      <c r="A37" s="144" t="s">
        <v>3324</v>
      </c>
      <c r="B37" s="60">
        <v>5060363.6795799993</v>
      </c>
      <c r="C37" s="60">
        <v>-263167.90958000068</v>
      </c>
      <c r="D37" s="60">
        <v>4797195.7699999986</v>
      </c>
      <c r="E37" s="60">
        <v>2037753.1000000008</v>
      </c>
      <c r="F37" s="60">
        <v>2037753.1000000008</v>
      </c>
      <c r="G37" s="77">
        <f t="shared" si="0"/>
        <v>2759442.6699999981</v>
      </c>
    </row>
    <row r="38" spans="1:7" s="24" customFormat="1" x14ac:dyDescent="0.25">
      <c r="A38" s="144" t="s">
        <v>3325</v>
      </c>
      <c r="B38" s="60">
        <v>6033853.3985799998</v>
      </c>
      <c r="C38" s="60">
        <v>87571.021420000121</v>
      </c>
      <c r="D38" s="60">
        <v>6121424.4199999999</v>
      </c>
      <c r="E38" s="60">
        <v>2556112.9599999995</v>
      </c>
      <c r="F38" s="60">
        <v>2556112.9599999995</v>
      </c>
      <c r="G38" s="77">
        <f t="shared" si="0"/>
        <v>3565311.4600000004</v>
      </c>
    </row>
    <row r="39" spans="1:7" s="24" customFormat="1" x14ac:dyDescent="0.25">
      <c r="A39" s="144" t="s">
        <v>3326</v>
      </c>
      <c r="B39" s="60">
        <v>2884925.3673299998</v>
      </c>
      <c r="C39" s="60">
        <v>-202290.59732999979</v>
      </c>
      <c r="D39" s="60">
        <v>2682634.77</v>
      </c>
      <c r="E39" s="60">
        <v>1095748.6599999997</v>
      </c>
      <c r="F39" s="60">
        <v>1095748.6599999997</v>
      </c>
      <c r="G39" s="77">
        <f t="shared" si="0"/>
        <v>1586886.1100000003</v>
      </c>
    </row>
    <row r="40" spans="1:7" s="24" customFormat="1" x14ac:dyDescent="0.25">
      <c r="A40" s="144" t="s">
        <v>3327</v>
      </c>
      <c r="B40" s="60">
        <v>5318132.9770800006</v>
      </c>
      <c r="C40" s="60">
        <v>96811.132919999771</v>
      </c>
      <c r="D40" s="60">
        <v>5414944.1100000003</v>
      </c>
      <c r="E40" s="60">
        <v>1755932.5899999999</v>
      </c>
      <c r="F40" s="60">
        <v>1755932.5899999999</v>
      </c>
      <c r="G40" s="77">
        <f t="shared" si="0"/>
        <v>3659011.5200000005</v>
      </c>
    </row>
    <row r="41" spans="1:7" s="24" customFormat="1" x14ac:dyDescent="0.25">
      <c r="A41" s="144" t="s">
        <v>3328</v>
      </c>
      <c r="B41" s="60">
        <v>790250.20699999994</v>
      </c>
      <c r="C41" s="60">
        <v>48070.772999999928</v>
      </c>
      <c r="D41" s="60">
        <v>838320.97999999986</v>
      </c>
      <c r="E41" s="60">
        <v>282618.20000000007</v>
      </c>
      <c r="F41" s="60">
        <v>282618.20000000007</v>
      </c>
      <c r="G41" s="77">
        <f t="shared" si="0"/>
        <v>555702.7799999998</v>
      </c>
    </row>
    <row r="42" spans="1:7" s="24" customFormat="1" x14ac:dyDescent="0.25">
      <c r="A42" s="144" t="s">
        <v>3329</v>
      </c>
      <c r="B42" s="60">
        <v>72831170.958420008</v>
      </c>
      <c r="C42" s="60">
        <v>-345344.62842001021</v>
      </c>
      <c r="D42" s="60">
        <v>72485826.329999998</v>
      </c>
      <c r="E42" s="60">
        <v>35894195.749999993</v>
      </c>
      <c r="F42" s="60">
        <v>35894195.749999993</v>
      </c>
      <c r="G42" s="77">
        <f t="shared" si="0"/>
        <v>36591630.580000006</v>
      </c>
    </row>
    <row r="43" spans="1:7" s="24" customFormat="1" x14ac:dyDescent="0.25">
      <c r="A43" s="144" t="s">
        <v>3330</v>
      </c>
      <c r="B43" s="60">
        <v>18354029.854999997</v>
      </c>
      <c r="C43" s="60">
        <v>-44322.134999997914</v>
      </c>
      <c r="D43" s="60">
        <v>18309707.719999999</v>
      </c>
      <c r="E43" s="60">
        <v>7694418.3999999976</v>
      </c>
      <c r="F43" s="60">
        <v>7694418.3999999976</v>
      </c>
      <c r="G43" s="77">
        <f t="shared" si="0"/>
        <v>10615289.32</v>
      </c>
    </row>
    <row r="44" spans="1:7" s="24" customFormat="1" x14ac:dyDescent="0.25">
      <c r="A44" s="144" t="s">
        <v>3331</v>
      </c>
      <c r="B44" s="60">
        <v>8907282.0342500005</v>
      </c>
      <c r="C44" s="60">
        <v>410097.95575000159</v>
      </c>
      <c r="D44" s="60">
        <v>9317379.9900000021</v>
      </c>
      <c r="E44" s="60">
        <v>2546553.3600000008</v>
      </c>
      <c r="F44" s="60">
        <v>2546553.3600000008</v>
      </c>
      <c r="G44" s="77">
        <f t="shared" si="0"/>
        <v>6770826.6300000008</v>
      </c>
    </row>
    <row r="45" spans="1:7" s="24" customFormat="1" x14ac:dyDescent="0.25">
      <c r="A45" s="144" t="s">
        <v>3332</v>
      </c>
      <c r="B45" s="60">
        <v>6394022.97908</v>
      </c>
      <c r="C45" s="60">
        <v>-527059.73907999974</v>
      </c>
      <c r="D45" s="60">
        <v>5866963.2400000002</v>
      </c>
      <c r="E45" s="60">
        <v>2204745.4</v>
      </c>
      <c r="F45" s="60">
        <v>2204745.4</v>
      </c>
      <c r="G45" s="77">
        <f t="shared" si="0"/>
        <v>3662217.8400000003</v>
      </c>
    </row>
    <row r="46" spans="1:7" s="24" customFormat="1" x14ac:dyDescent="0.25">
      <c r="A46" s="144" t="s">
        <v>3333</v>
      </c>
      <c r="B46" s="60">
        <v>2472462.6774199996</v>
      </c>
      <c r="C46" s="60">
        <v>-22349.347420000006</v>
      </c>
      <c r="D46" s="60">
        <v>2450113.3299999996</v>
      </c>
      <c r="E46" s="60">
        <v>1014405.3699999999</v>
      </c>
      <c r="F46" s="60">
        <v>1014405.3699999999</v>
      </c>
      <c r="G46" s="77">
        <f t="shared" si="0"/>
        <v>1435707.9599999997</v>
      </c>
    </row>
    <row r="47" spans="1:7" s="24" customFormat="1" x14ac:dyDescent="0.25">
      <c r="A47" s="144" t="s">
        <v>3334</v>
      </c>
      <c r="B47" s="60">
        <v>307005084.58307993</v>
      </c>
      <c r="C47" s="60">
        <v>154171717.16692013</v>
      </c>
      <c r="D47" s="60">
        <v>461176801.75000006</v>
      </c>
      <c r="E47" s="60">
        <v>71685398.810000032</v>
      </c>
      <c r="F47" s="60">
        <v>71562092.690000042</v>
      </c>
      <c r="G47" s="77">
        <f t="shared" si="0"/>
        <v>389491402.94000006</v>
      </c>
    </row>
    <row r="48" spans="1:7" s="24" customFormat="1" x14ac:dyDescent="0.25">
      <c r="A48" s="144" t="s">
        <v>3335</v>
      </c>
      <c r="B48" s="60">
        <v>6154198.5396700017</v>
      </c>
      <c r="C48" s="60">
        <v>-26603.529670000076</v>
      </c>
      <c r="D48" s="60">
        <v>6127595.0100000016</v>
      </c>
      <c r="E48" s="60">
        <v>2460412.19</v>
      </c>
      <c r="F48" s="60">
        <v>2460412.19</v>
      </c>
      <c r="G48" s="77">
        <f t="shared" ref="G48:G54" si="2">D48-E48</f>
        <v>3667182.8200000017</v>
      </c>
    </row>
    <row r="49" spans="1:7" s="24" customFormat="1" x14ac:dyDescent="0.25">
      <c r="A49" s="144" t="s">
        <v>3336</v>
      </c>
      <c r="B49" s="60">
        <v>5807572.5120800016</v>
      </c>
      <c r="C49" s="60">
        <v>-39853.952080001123</v>
      </c>
      <c r="D49" s="60">
        <v>5767718.5600000005</v>
      </c>
      <c r="E49" s="60">
        <v>2480031.7599999998</v>
      </c>
      <c r="F49" s="60">
        <v>2480031.7599999998</v>
      </c>
      <c r="G49" s="77">
        <f t="shared" si="2"/>
        <v>3287686.8000000007</v>
      </c>
    </row>
    <row r="50" spans="1:7" s="24" customFormat="1" x14ac:dyDescent="0.25">
      <c r="A50" s="144" t="s">
        <v>3337</v>
      </c>
      <c r="B50" s="60">
        <v>1159271.3730799998</v>
      </c>
      <c r="C50" s="60">
        <v>3613.9369200000074</v>
      </c>
      <c r="D50" s="60">
        <v>1162885.3099999998</v>
      </c>
      <c r="E50" s="60">
        <v>482358.11999999988</v>
      </c>
      <c r="F50" s="60">
        <v>482358.11999999988</v>
      </c>
      <c r="G50" s="77">
        <f t="shared" si="2"/>
        <v>680527.19</v>
      </c>
    </row>
    <row r="51" spans="1:7" s="24" customFormat="1" x14ac:dyDescent="0.25">
      <c r="A51" s="144" t="s">
        <v>3338</v>
      </c>
      <c r="B51" s="60">
        <v>5628288.5682500005</v>
      </c>
      <c r="C51" s="60">
        <v>217933.62175000086</v>
      </c>
      <c r="D51" s="60">
        <v>5846222.1900000013</v>
      </c>
      <c r="E51" s="60">
        <v>2395130.9799999986</v>
      </c>
      <c r="F51" s="60">
        <v>2395130.9799999986</v>
      </c>
      <c r="G51" s="77">
        <f t="shared" si="2"/>
        <v>3451091.2100000028</v>
      </c>
    </row>
    <row r="52" spans="1:7" s="24" customFormat="1" x14ac:dyDescent="0.25">
      <c r="A52" s="144" t="s">
        <v>3339</v>
      </c>
      <c r="B52" s="60">
        <v>10987175.77925</v>
      </c>
      <c r="C52" s="60">
        <v>-123681.24924999848</v>
      </c>
      <c r="D52" s="60">
        <v>10863494.530000001</v>
      </c>
      <c r="E52" s="60">
        <v>5027948.4999999991</v>
      </c>
      <c r="F52" s="60">
        <v>5027948.4999999991</v>
      </c>
      <c r="G52" s="77">
        <f t="shared" si="2"/>
        <v>5835546.0300000021</v>
      </c>
    </row>
    <row r="53" spans="1:7" s="24" customFormat="1" x14ac:dyDescent="0.25">
      <c r="A53" s="144" t="s">
        <v>3340</v>
      </c>
      <c r="B53" s="60">
        <v>4903559.6999700004</v>
      </c>
      <c r="C53" s="60">
        <v>-37236.559969998896</v>
      </c>
      <c r="D53" s="60">
        <v>4866323.1400000015</v>
      </c>
      <c r="E53" s="60">
        <v>1403634.43</v>
      </c>
      <c r="F53" s="60">
        <v>1403634.43</v>
      </c>
      <c r="G53" s="77">
        <f t="shared" si="2"/>
        <v>3462688.7100000018</v>
      </c>
    </row>
    <row r="54" spans="1:7" s="24" customFormat="1" x14ac:dyDescent="0.25">
      <c r="A54" s="144" t="s">
        <v>3341</v>
      </c>
      <c r="B54" s="60">
        <v>1082611.6890799999</v>
      </c>
      <c r="C54" s="60">
        <v>2628593.8909200002</v>
      </c>
      <c r="D54" s="60">
        <v>3711205.58</v>
      </c>
      <c r="E54" s="60">
        <v>489689.75000000006</v>
      </c>
      <c r="F54" s="60">
        <v>489689.75000000006</v>
      </c>
      <c r="G54" s="77">
        <f t="shared" si="2"/>
        <v>3221515.83</v>
      </c>
    </row>
    <row r="55" spans="1:7" x14ac:dyDescent="0.25">
      <c r="A55" s="76" t="s">
        <v>678</v>
      </c>
      <c r="B55" s="54"/>
      <c r="C55" s="54"/>
      <c r="D55" s="54"/>
      <c r="E55" s="54"/>
      <c r="F55" s="54"/>
      <c r="G55" s="54"/>
    </row>
    <row r="56" spans="1:7" s="24" customFormat="1" x14ac:dyDescent="0.25">
      <c r="A56" s="55" t="s">
        <v>433</v>
      </c>
      <c r="B56" s="61">
        <f>SUM(B57:GASTO_E_FIN_01)</f>
        <v>172598064.79999998</v>
      </c>
      <c r="C56" s="61">
        <f>SUM(C57:GASTO_E_FIN_02)</f>
        <v>-49554192.039999977</v>
      </c>
      <c r="D56" s="61">
        <f>SUM(D57:GASTO_E_FIN_03)</f>
        <v>123043872.76000001</v>
      </c>
      <c r="E56" s="61">
        <f>SUM(E57:GASTO_E_FIN_04)</f>
        <v>53116177.500000022</v>
      </c>
      <c r="F56" s="61">
        <f>SUM(F57:GASTO_E_FIN_05)</f>
        <v>53116177.500000022</v>
      </c>
      <c r="G56" s="61">
        <f>SUM(G57:GASTO_E_FIN_06)</f>
        <v>69927695.25999999</v>
      </c>
    </row>
    <row r="57" spans="1:7" s="24" customFormat="1" x14ac:dyDescent="0.25">
      <c r="A57" s="144" t="s">
        <v>3297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D57-E57</f>
        <v>0</v>
      </c>
    </row>
    <row r="58" spans="1:7" s="24" customFormat="1" x14ac:dyDescent="0.25">
      <c r="A58" s="144" t="s">
        <v>3298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ref="G58:G65" si="3">D58-E58</f>
        <v>0</v>
      </c>
    </row>
    <row r="59" spans="1:7" s="24" customFormat="1" x14ac:dyDescent="0.25">
      <c r="A59" s="144" t="s">
        <v>3299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f t="shared" si="3"/>
        <v>0</v>
      </c>
    </row>
    <row r="60" spans="1:7" s="24" customFormat="1" x14ac:dyDescent="0.25">
      <c r="A60" s="144" t="s">
        <v>3300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 t="shared" si="3"/>
        <v>0</v>
      </c>
    </row>
    <row r="61" spans="1:7" s="24" customFormat="1" x14ac:dyDescent="0.25">
      <c r="A61" s="144" t="s">
        <v>3301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 t="shared" si="3"/>
        <v>0</v>
      </c>
    </row>
    <row r="62" spans="1:7" s="24" customFormat="1" x14ac:dyDescent="0.25">
      <c r="A62" s="144" t="s">
        <v>3302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 t="shared" si="3"/>
        <v>0</v>
      </c>
    </row>
    <row r="63" spans="1:7" s="24" customFormat="1" x14ac:dyDescent="0.25">
      <c r="A63" s="144" t="s">
        <v>3303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 t="shared" si="3"/>
        <v>0</v>
      </c>
    </row>
    <row r="64" spans="1:7" s="24" customFormat="1" x14ac:dyDescent="0.25">
      <c r="A64" s="144" t="s">
        <v>3304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f t="shared" si="3"/>
        <v>0</v>
      </c>
    </row>
    <row r="65" spans="1:7" s="24" customFormat="1" x14ac:dyDescent="0.25">
      <c r="A65" s="144" t="s">
        <v>3305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f t="shared" si="3"/>
        <v>0</v>
      </c>
    </row>
    <row r="66" spans="1:7" s="24" customFormat="1" x14ac:dyDescent="0.25">
      <c r="A66" s="144" t="s">
        <v>3306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f t="shared" ref="G66:G71" si="4">D66-E66</f>
        <v>0</v>
      </c>
    </row>
    <row r="67" spans="1:7" s="24" customFormat="1" x14ac:dyDescent="0.25">
      <c r="A67" s="144" t="s">
        <v>3307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f t="shared" si="4"/>
        <v>0</v>
      </c>
    </row>
    <row r="68" spans="1:7" s="24" customFormat="1" x14ac:dyDescent="0.25">
      <c r="A68" s="144" t="s">
        <v>3308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 t="shared" si="4"/>
        <v>0</v>
      </c>
    </row>
    <row r="69" spans="1:7" s="24" customFormat="1" x14ac:dyDescent="0.25">
      <c r="A69" s="144" t="s">
        <v>3309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f t="shared" si="4"/>
        <v>0</v>
      </c>
    </row>
    <row r="70" spans="1:7" s="24" customFormat="1" x14ac:dyDescent="0.25">
      <c r="A70" s="144" t="s">
        <v>3310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f t="shared" si="4"/>
        <v>0</v>
      </c>
    </row>
    <row r="71" spans="1:7" s="24" customFormat="1" x14ac:dyDescent="0.25">
      <c r="A71" s="144" t="s">
        <v>3311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f t="shared" si="4"/>
        <v>0</v>
      </c>
    </row>
    <row r="72" spans="1:7" s="24" customFormat="1" x14ac:dyDescent="0.25">
      <c r="A72" s="144" t="s">
        <v>3312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f t="shared" ref="G72:G77" si="5">D72-E72</f>
        <v>0</v>
      </c>
    </row>
    <row r="73" spans="1:7" s="24" customFormat="1" x14ac:dyDescent="0.25">
      <c r="A73" s="144" t="s">
        <v>3313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 t="shared" si="5"/>
        <v>0</v>
      </c>
    </row>
    <row r="74" spans="1:7" s="24" customFormat="1" x14ac:dyDescent="0.25">
      <c r="A74" s="144" t="s">
        <v>3314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 t="shared" si="5"/>
        <v>0</v>
      </c>
    </row>
    <row r="75" spans="1:7" s="24" customFormat="1" x14ac:dyDescent="0.25">
      <c r="A75" s="144" t="s">
        <v>3315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f t="shared" si="5"/>
        <v>0</v>
      </c>
    </row>
    <row r="76" spans="1:7" s="24" customFormat="1" x14ac:dyDescent="0.25">
      <c r="A76" s="144" t="s">
        <v>3316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f t="shared" si="5"/>
        <v>0</v>
      </c>
    </row>
    <row r="77" spans="1:7" s="24" customFormat="1" x14ac:dyDescent="0.25">
      <c r="A77" s="144" t="s">
        <v>3317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f t="shared" si="5"/>
        <v>0</v>
      </c>
    </row>
    <row r="78" spans="1:7" s="24" customFormat="1" x14ac:dyDescent="0.25">
      <c r="A78" s="144" t="s">
        <v>3318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f t="shared" ref="G78:G83" si="6">D78-E78</f>
        <v>0</v>
      </c>
    </row>
    <row r="79" spans="1:7" s="24" customFormat="1" x14ac:dyDescent="0.25">
      <c r="A79" s="144" t="s">
        <v>3319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f t="shared" si="6"/>
        <v>0</v>
      </c>
    </row>
    <row r="80" spans="1:7" s="24" customFormat="1" x14ac:dyDescent="0.25">
      <c r="A80" s="144" t="s">
        <v>3320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f t="shared" si="6"/>
        <v>0</v>
      </c>
    </row>
    <row r="81" spans="1:7" s="24" customFormat="1" x14ac:dyDescent="0.25">
      <c r="A81" s="144" t="s">
        <v>3321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f t="shared" si="6"/>
        <v>0</v>
      </c>
    </row>
    <row r="82" spans="1:7" s="24" customFormat="1" x14ac:dyDescent="0.25">
      <c r="A82" s="144" t="s">
        <v>3322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f t="shared" si="6"/>
        <v>0</v>
      </c>
    </row>
    <row r="83" spans="1:7" s="24" customFormat="1" x14ac:dyDescent="0.25">
      <c r="A83" s="144" t="s">
        <v>3323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f t="shared" si="6"/>
        <v>0</v>
      </c>
    </row>
    <row r="84" spans="1:7" s="24" customFormat="1" x14ac:dyDescent="0.25">
      <c r="A84" s="144" t="s">
        <v>3324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f t="shared" ref="G84:G89" si="7">D84-E84</f>
        <v>0</v>
      </c>
    </row>
    <row r="85" spans="1:7" s="24" customFormat="1" x14ac:dyDescent="0.25">
      <c r="A85" s="144" t="s">
        <v>3325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f t="shared" si="7"/>
        <v>0</v>
      </c>
    </row>
    <row r="86" spans="1:7" s="24" customFormat="1" x14ac:dyDescent="0.25">
      <c r="A86" s="144" t="s">
        <v>3326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f t="shared" si="7"/>
        <v>0</v>
      </c>
    </row>
    <row r="87" spans="1:7" s="24" customFormat="1" x14ac:dyDescent="0.25">
      <c r="A87" s="144" t="s">
        <v>3327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f t="shared" si="7"/>
        <v>0</v>
      </c>
    </row>
    <row r="88" spans="1:7" s="24" customFormat="1" x14ac:dyDescent="0.25">
      <c r="A88" s="144" t="s">
        <v>3328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f t="shared" si="7"/>
        <v>0</v>
      </c>
    </row>
    <row r="89" spans="1:7" s="24" customFormat="1" x14ac:dyDescent="0.25">
      <c r="A89" s="144" t="s">
        <v>3329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f t="shared" si="7"/>
        <v>0</v>
      </c>
    </row>
    <row r="90" spans="1:7" s="24" customFormat="1" x14ac:dyDescent="0.25">
      <c r="A90" s="144" t="s">
        <v>3330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f t="shared" ref="G90:G101" si="8">D90-E90</f>
        <v>0</v>
      </c>
    </row>
    <row r="91" spans="1:7" s="24" customFormat="1" x14ac:dyDescent="0.25">
      <c r="A91" s="144" t="s">
        <v>3331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 t="shared" ref="G91:G95" si="9">D91-E91</f>
        <v>0</v>
      </c>
    </row>
    <row r="92" spans="1:7" s="24" customFormat="1" x14ac:dyDescent="0.25">
      <c r="A92" s="144" t="s">
        <v>3332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si="9"/>
        <v>0</v>
      </c>
    </row>
    <row r="93" spans="1:7" s="24" customFormat="1" x14ac:dyDescent="0.25">
      <c r="A93" s="144" t="s">
        <v>3333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f t="shared" si="9"/>
        <v>0</v>
      </c>
    </row>
    <row r="94" spans="1:7" s="24" customFormat="1" x14ac:dyDescent="0.25">
      <c r="A94" s="144" t="s">
        <v>3334</v>
      </c>
      <c r="B94" s="60">
        <v>172598064.79999998</v>
      </c>
      <c r="C94" s="60">
        <v>-49554192.039999977</v>
      </c>
      <c r="D94" s="60">
        <v>123043872.76000001</v>
      </c>
      <c r="E94" s="60">
        <v>53116177.500000022</v>
      </c>
      <c r="F94" s="60">
        <v>53116177.500000022</v>
      </c>
      <c r="G94" s="60">
        <f t="shared" si="9"/>
        <v>69927695.25999999</v>
      </c>
    </row>
    <row r="95" spans="1:7" s="24" customFormat="1" x14ac:dyDescent="0.25">
      <c r="A95" s="144" t="s">
        <v>3335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9"/>
        <v>0</v>
      </c>
    </row>
    <row r="96" spans="1:7" s="24" customFormat="1" x14ac:dyDescent="0.25">
      <c r="A96" s="144" t="s">
        <v>3336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f t="shared" si="8"/>
        <v>0</v>
      </c>
    </row>
    <row r="97" spans="1:7" s="24" customFormat="1" x14ac:dyDescent="0.25">
      <c r="A97" s="144" t="s">
        <v>3337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f t="shared" si="8"/>
        <v>0</v>
      </c>
    </row>
    <row r="98" spans="1:7" s="24" customFormat="1" x14ac:dyDescent="0.25">
      <c r="A98" s="144" t="s">
        <v>3338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f t="shared" si="8"/>
        <v>0</v>
      </c>
    </row>
    <row r="99" spans="1:7" s="24" customFormat="1" x14ac:dyDescent="0.25">
      <c r="A99" s="144" t="s">
        <v>3339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f t="shared" si="8"/>
        <v>0</v>
      </c>
    </row>
    <row r="100" spans="1:7" s="24" customFormat="1" x14ac:dyDescent="0.25">
      <c r="A100" s="144" t="s">
        <v>3340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f t="shared" si="8"/>
        <v>0</v>
      </c>
    </row>
    <row r="101" spans="1:7" s="24" customFormat="1" x14ac:dyDescent="0.25">
      <c r="A101" s="144" t="s">
        <v>3341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f t="shared" si="8"/>
        <v>0</v>
      </c>
    </row>
    <row r="102" spans="1:7" x14ac:dyDescent="0.25">
      <c r="A102" s="76" t="s">
        <v>678</v>
      </c>
      <c r="B102" s="54"/>
      <c r="C102" s="54"/>
      <c r="D102" s="54"/>
      <c r="E102" s="54"/>
      <c r="F102" s="54"/>
      <c r="G102" s="54"/>
    </row>
    <row r="103" spans="1:7" x14ac:dyDescent="0.25">
      <c r="A103" s="55" t="s">
        <v>360</v>
      </c>
      <c r="B103" s="61">
        <f>GASTO_NE_T1+GASTO_E_T1</f>
        <v>820567681.25407302</v>
      </c>
      <c r="C103" s="61">
        <f>GASTO_NE_T2+GASTO_E_T2</f>
        <v>106649130.96592714</v>
      </c>
      <c r="D103" s="61">
        <f>GASTO_NE_T3+GASTO_E_T3</f>
        <v>927216812.22000003</v>
      </c>
      <c r="E103" s="61">
        <f>GASTO_NE_T4+GASTO_E_T4</f>
        <v>287927081.91000003</v>
      </c>
      <c r="F103" s="61">
        <f>GASTO_NE_T5+GASTO_E_T5</f>
        <v>287803775.79000008</v>
      </c>
      <c r="G103" s="61">
        <f>GASTO_NE_T6+GASTO_E_T6</f>
        <v>639289730.31000018</v>
      </c>
    </row>
    <row r="104" spans="1:7" x14ac:dyDescent="0.25">
      <c r="A104" s="58"/>
      <c r="B104" s="65"/>
      <c r="C104" s="65"/>
      <c r="D104" s="65"/>
      <c r="E104" s="65"/>
      <c r="F104" s="65"/>
      <c r="G104" s="78"/>
    </row>
    <row r="105" spans="1:7" hidden="1" x14ac:dyDescent="0.25">
      <c r="A105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03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647969616.45407307</v>
      </c>
      <c r="Q2" s="18">
        <f>GASTO_NE_T2</f>
        <v>156203323.00592712</v>
      </c>
      <c r="R2" s="18">
        <f>GASTO_NE_T3</f>
        <v>804172939.46000004</v>
      </c>
      <c r="S2" s="18">
        <f>GASTO_NE_T4</f>
        <v>234810904.41000003</v>
      </c>
      <c r="T2" s="18">
        <f>GASTO_NE_T5</f>
        <v>234687598.29000005</v>
      </c>
      <c r="U2" s="18">
        <f>GASTO_NE_T6</f>
        <v>569362035.05000019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172598064.79999998</v>
      </c>
      <c r="Q3" s="18">
        <f>GASTO_E_T2</f>
        <v>-49554192.039999977</v>
      </c>
      <c r="R3" s="18">
        <f>GASTO_E_T3</f>
        <v>123043872.76000001</v>
      </c>
      <c r="S3" s="18">
        <f>GASTO_E_T4</f>
        <v>53116177.500000022</v>
      </c>
      <c r="T3" s="18">
        <f>GASTO_E_T5</f>
        <v>53116177.500000022</v>
      </c>
      <c r="U3" s="18">
        <f>GASTO_E_T6</f>
        <v>69927695.25999999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820567681.25407302</v>
      </c>
      <c r="Q4" s="18">
        <f>TOTAL_E_T2</f>
        <v>106649130.96592714</v>
      </c>
      <c r="R4" s="18">
        <f>TOTAL_E_T3</f>
        <v>927216812.22000003</v>
      </c>
      <c r="S4" s="18">
        <f>TOTAL_E_T4</f>
        <v>287927081.91000003</v>
      </c>
      <c r="T4" s="18">
        <f>TOTAL_E_T5</f>
        <v>287803775.79000008</v>
      </c>
      <c r="U4" s="18">
        <f>TOTAL_E_T6</f>
        <v>639289730.31000018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topLeftCell="A40" zoomScale="80" zoomScaleNormal="80" zoomScalePageLayoutView="80" workbookViewId="0">
      <selection activeCell="C53" sqref="C53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2" t="s">
        <v>3281</v>
      </c>
      <c r="B1" s="183"/>
      <c r="C1" s="183"/>
      <c r="D1" s="183"/>
      <c r="E1" s="183"/>
      <c r="F1" s="183"/>
      <c r="G1" s="183"/>
    </row>
    <row r="2" spans="1:7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0" t="s">
        <v>396</v>
      </c>
      <c r="B3" s="161"/>
      <c r="C3" s="161"/>
      <c r="D3" s="161"/>
      <c r="E3" s="161"/>
      <c r="F3" s="161"/>
      <c r="G3" s="162"/>
    </row>
    <row r="4" spans="1:7" x14ac:dyDescent="0.25">
      <c r="A4" s="160" t="s">
        <v>397</v>
      </c>
      <c r="B4" s="161"/>
      <c r="C4" s="161"/>
      <c r="D4" s="161"/>
      <c r="E4" s="161"/>
      <c r="F4" s="161"/>
      <c r="G4" s="162"/>
    </row>
    <row r="5" spans="1:7" x14ac:dyDescent="0.25">
      <c r="A5" s="163" t="str">
        <f>TRIMESTRE</f>
        <v>Del 1 de enero al 30 de junio de 2020 (b)</v>
      </c>
      <c r="B5" s="164"/>
      <c r="C5" s="164"/>
      <c r="D5" s="164"/>
      <c r="E5" s="164"/>
      <c r="F5" s="164"/>
      <c r="G5" s="165"/>
    </row>
    <row r="6" spans="1:7" x14ac:dyDescent="0.2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61" t="s">
        <v>0</v>
      </c>
      <c r="B7" s="166" t="s">
        <v>279</v>
      </c>
      <c r="C7" s="167"/>
      <c r="D7" s="167"/>
      <c r="E7" s="167"/>
      <c r="F7" s="168"/>
      <c r="G7" s="178" t="s">
        <v>3278</v>
      </c>
    </row>
    <row r="8" spans="1:7" ht="30.75" customHeight="1" x14ac:dyDescent="0.25">
      <c r="A8" s="161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7"/>
    </row>
    <row r="9" spans="1:7" x14ac:dyDescent="0.25">
      <c r="A9" s="52" t="s">
        <v>363</v>
      </c>
      <c r="B9" s="70">
        <f>SUM(B10,B19,B27,B37)</f>
        <v>647969616.45407319</v>
      </c>
      <c r="C9" s="70">
        <f t="shared" ref="C9:G9" si="0">SUM(C10,C19,C27,C37)</f>
        <v>156203323.00592703</v>
      </c>
      <c r="D9" s="70">
        <f t="shared" si="0"/>
        <v>804172939.45999992</v>
      </c>
      <c r="E9" s="70">
        <f t="shared" si="0"/>
        <v>234810904.41000003</v>
      </c>
      <c r="F9" s="70">
        <f t="shared" si="0"/>
        <v>234687598.29000002</v>
      </c>
      <c r="G9" s="70">
        <f t="shared" si="0"/>
        <v>569362035.04999995</v>
      </c>
    </row>
    <row r="10" spans="1:7" x14ac:dyDescent="0.2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>SUM(B20:B26)</f>
        <v>647969616.45407319</v>
      </c>
      <c r="C19" s="71">
        <f t="shared" ref="C19:F19" si="3">SUM(C20:C26)</f>
        <v>156203323.00592703</v>
      </c>
      <c r="D19" s="71">
        <f t="shared" si="3"/>
        <v>804172939.45999992</v>
      </c>
      <c r="E19" s="71">
        <f t="shared" si="3"/>
        <v>234810904.41000003</v>
      </c>
      <c r="F19" s="71">
        <f t="shared" si="3"/>
        <v>234687598.29000002</v>
      </c>
      <c r="G19" s="71">
        <f>SUM(G20:G26)</f>
        <v>569362035.04999995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647969616.45407319</v>
      </c>
      <c r="C21" s="71">
        <v>156203323.00592703</v>
      </c>
      <c r="D21" s="71">
        <v>804172939.45999992</v>
      </c>
      <c r="E21" s="71">
        <v>234810904.41000003</v>
      </c>
      <c r="F21" s="71">
        <v>234687598.29000002</v>
      </c>
      <c r="G21" s="72">
        <f t="shared" ref="G21:G26" si="4">D21-E21</f>
        <v>569362035.04999995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ht="30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172598064.80000001</v>
      </c>
      <c r="C43" s="73">
        <f t="shared" ref="C43:G43" si="9">SUM(C44,C53,C61,C71)</f>
        <v>-49554192.040000014</v>
      </c>
      <c r="D43" s="73">
        <f t="shared" si="9"/>
        <v>123043872.75999999</v>
      </c>
      <c r="E43" s="73">
        <f t="shared" si="9"/>
        <v>53116177.5</v>
      </c>
      <c r="F43" s="73">
        <f t="shared" si="9"/>
        <v>53116177.5</v>
      </c>
      <c r="G43" s="73">
        <f t="shared" si="9"/>
        <v>69927695.25999999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172598064.80000001</v>
      </c>
      <c r="C53" s="71">
        <f t="shared" ref="C53:G53" si="12">SUM(C54:C60)</f>
        <v>-49554192.040000014</v>
      </c>
      <c r="D53" s="71">
        <f t="shared" si="12"/>
        <v>123043872.75999999</v>
      </c>
      <c r="E53" s="71">
        <f t="shared" si="12"/>
        <v>53116177.5</v>
      </c>
      <c r="F53" s="71">
        <f t="shared" si="12"/>
        <v>53116177.5</v>
      </c>
      <c r="G53" s="71">
        <f t="shared" si="12"/>
        <v>69927695.25999999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172598064.80000001</v>
      </c>
      <c r="C55" s="71">
        <v>-49554192.040000014</v>
      </c>
      <c r="D55" s="71">
        <v>123043872.75999999</v>
      </c>
      <c r="E55" s="71">
        <v>53116177.5</v>
      </c>
      <c r="F55" s="71">
        <v>53116177.5</v>
      </c>
      <c r="G55" s="72">
        <f t="shared" ref="G55:G60" si="13">D55-E55</f>
        <v>69927695.25999999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ht="30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820567681.25407314</v>
      </c>
      <c r="C77" s="73">
        <f t="shared" ref="C77:F77" si="18">C43+C9</f>
        <v>106649130.965927</v>
      </c>
      <c r="D77" s="73">
        <f t="shared" si="18"/>
        <v>927216812.21999991</v>
      </c>
      <c r="E77" s="73">
        <f t="shared" si="18"/>
        <v>287927081.91000003</v>
      </c>
      <c r="F77" s="73">
        <f t="shared" si="18"/>
        <v>287803775.79000002</v>
      </c>
      <c r="G77" s="73">
        <f>G43+G9</f>
        <v>639289730.30999994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647969616.45407319</v>
      </c>
      <c r="Q2" s="18">
        <f>'Formato 6 c)'!C9</f>
        <v>156203323.00592703</v>
      </c>
      <c r="R2" s="18">
        <f>'Formato 6 c)'!D9</f>
        <v>804172939.45999992</v>
      </c>
      <c r="S2" s="18">
        <f>'Formato 6 c)'!E9</f>
        <v>234810904.41000003</v>
      </c>
      <c r="T2" s="18">
        <f>'Formato 6 c)'!F9</f>
        <v>234687598.29000002</v>
      </c>
      <c r="U2" s="18">
        <f>'Formato 6 c)'!G9</f>
        <v>569362035.04999995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647969616.45407319</v>
      </c>
      <c r="Q12" s="18">
        <f>'Formato 6 c)'!C19</f>
        <v>156203323.00592703</v>
      </c>
      <c r="R12" s="18">
        <f>'Formato 6 c)'!D19</f>
        <v>804172939.45999992</v>
      </c>
      <c r="S12" s="18">
        <f>'Formato 6 c)'!E19</f>
        <v>234810904.41000003</v>
      </c>
      <c r="T12" s="18">
        <f>'Formato 6 c)'!F19</f>
        <v>234687598.29000002</v>
      </c>
      <c r="U12" s="18">
        <f>'Formato 6 c)'!G19</f>
        <v>569362035.04999995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647969616.45407319</v>
      </c>
      <c r="Q14" s="18">
        <f>'Formato 6 c)'!C21</f>
        <v>156203323.00592703</v>
      </c>
      <c r="R14" s="18">
        <f>'Formato 6 c)'!D21</f>
        <v>804172939.45999992</v>
      </c>
      <c r="S14" s="18">
        <f>'Formato 6 c)'!E21</f>
        <v>234810904.41000003</v>
      </c>
      <c r="T14" s="18">
        <f>'Formato 6 c)'!F21</f>
        <v>234687598.29000002</v>
      </c>
      <c r="U14" s="18">
        <f>'Formato 6 c)'!G21</f>
        <v>569362035.04999995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172598064.80000001</v>
      </c>
      <c r="Q35" s="18">
        <f>'Formato 6 c)'!C43</f>
        <v>-49554192.040000014</v>
      </c>
      <c r="R35" s="18">
        <f>'Formato 6 c)'!D43</f>
        <v>123043872.75999999</v>
      </c>
      <c r="S35" s="18">
        <f>'Formato 6 c)'!E43</f>
        <v>53116177.5</v>
      </c>
      <c r="T35" s="18">
        <f>'Formato 6 c)'!F43</f>
        <v>53116177.5</v>
      </c>
      <c r="U35" s="18">
        <f>'Formato 6 c)'!G43</f>
        <v>69927695.25999999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172598064.80000001</v>
      </c>
      <c r="Q45" s="18">
        <f>'Formato 6 c)'!C53</f>
        <v>-49554192.040000014</v>
      </c>
      <c r="R45" s="18">
        <f>'Formato 6 c)'!D53</f>
        <v>123043872.75999999</v>
      </c>
      <c r="S45" s="18">
        <f>'Formato 6 c)'!E53</f>
        <v>53116177.5</v>
      </c>
      <c r="T45" s="18">
        <f>'Formato 6 c)'!F53</f>
        <v>53116177.5</v>
      </c>
      <c r="U45" s="18">
        <f>'Formato 6 c)'!G53</f>
        <v>69927695.25999999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172598064.80000001</v>
      </c>
      <c r="Q47" s="18">
        <f>'Formato 6 c)'!C55</f>
        <v>-49554192.040000014</v>
      </c>
      <c r="R47" s="18">
        <f>'Formato 6 c)'!D55</f>
        <v>123043872.75999999</v>
      </c>
      <c r="S47" s="18">
        <f>'Formato 6 c)'!E55</f>
        <v>53116177.5</v>
      </c>
      <c r="T47" s="18">
        <f>'Formato 6 c)'!F55</f>
        <v>53116177.5</v>
      </c>
      <c r="U47" s="18">
        <f>'Formato 6 c)'!G55</f>
        <v>69927695.25999999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820567681.25407314</v>
      </c>
      <c r="Q68" s="18">
        <f>'Formato 6 c)'!C77</f>
        <v>106649130.965927</v>
      </c>
      <c r="R68" s="18">
        <f>'Formato 6 c)'!D77</f>
        <v>927216812.21999991</v>
      </c>
      <c r="S68" s="18">
        <f>'Formato 6 c)'!E77</f>
        <v>287927081.91000003</v>
      </c>
      <c r="T68" s="18">
        <f>'Formato 6 c)'!F77</f>
        <v>287803775.79000002</v>
      </c>
      <c r="U68" s="18">
        <f>'Formato 6 c)'!G77</f>
        <v>639289730.30999994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1136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2020</v>
      </c>
    </row>
    <row r="14" spans="2:3" x14ac:dyDescent="0.25">
      <c r="B14" t="s">
        <v>785</v>
      </c>
      <c r="C14" s="24" t="s">
        <v>3295</v>
      </c>
    </row>
    <row r="15" spans="2:3" x14ac:dyDescent="0.25">
      <c r="C15" s="24">
        <v>2</v>
      </c>
    </row>
    <row r="16" spans="2:3" x14ac:dyDescent="0.25">
      <c r="C16" s="24" t="s">
        <v>3296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2020 (m = g – l)</v>
      </c>
    </row>
    <row r="20" spans="4:9" ht="60" x14ac:dyDescent="0.25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 x14ac:dyDescent="0.25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 x14ac:dyDescent="0.25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zoomScale="80" zoomScaleNormal="80" zoomScalePageLayoutView="80" workbookViewId="0">
      <selection activeCell="B10" sqref="B10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6" t="s">
        <v>3279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3" t="s">
        <v>277</v>
      </c>
      <c r="B3" s="164"/>
      <c r="C3" s="164"/>
      <c r="D3" s="164"/>
      <c r="E3" s="164"/>
      <c r="F3" s="164"/>
      <c r="G3" s="165"/>
    </row>
    <row r="4" spans="1:7" x14ac:dyDescent="0.25">
      <c r="A4" s="163" t="s">
        <v>399</v>
      </c>
      <c r="B4" s="164"/>
      <c r="C4" s="164"/>
      <c r="D4" s="164"/>
      <c r="E4" s="164"/>
      <c r="F4" s="164"/>
      <c r="G4" s="165"/>
    </row>
    <row r="5" spans="1:7" x14ac:dyDescent="0.25">
      <c r="A5" s="163" t="str">
        <f>TRIMESTRE</f>
        <v>Del 1 de enero al 30 de junio de 2020 (b)</v>
      </c>
      <c r="B5" s="164"/>
      <c r="C5" s="164"/>
      <c r="D5" s="164"/>
      <c r="E5" s="164"/>
      <c r="F5" s="164"/>
      <c r="G5" s="165"/>
    </row>
    <row r="6" spans="1:7" x14ac:dyDescent="0.2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72" t="s">
        <v>361</v>
      </c>
      <c r="B7" s="177" t="s">
        <v>279</v>
      </c>
      <c r="C7" s="177"/>
      <c r="D7" s="177"/>
      <c r="E7" s="177"/>
      <c r="F7" s="177"/>
      <c r="G7" s="177" t="s">
        <v>280</v>
      </c>
    </row>
    <row r="8" spans="1:7" ht="29.25" customHeight="1" x14ac:dyDescent="0.25">
      <c r="A8" s="173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4"/>
    </row>
    <row r="9" spans="1:7" x14ac:dyDescent="0.25">
      <c r="A9" s="52" t="s">
        <v>400</v>
      </c>
      <c r="B9" s="66">
        <f>SUM(B10,B11,B12,B15,B16,B19)</f>
        <v>118296814.69407301</v>
      </c>
      <c r="C9" s="66">
        <f t="shared" ref="C9:F9" si="0">SUM(C10,C11,C12,C15,C16,C19)</f>
        <v>5.9269815683364868E-3</v>
      </c>
      <c r="D9" s="66">
        <f t="shared" si="0"/>
        <v>118296814.69999999</v>
      </c>
      <c r="E9" s="66">
        <f t="shared" si="0"/>
        <v>49363999.610000044</v>
      </c>
      <c r="F9" s="66">
        <f t="shared" si="0"/>
        <v>49363999.610000044</v>
      </c>
      <c r="G9" s="66">
        <f>SUM(G10,G11,G12,G15,G16,G19)</f>
        <v>68932815.089999944</v>
      </c>
    </row>
    <row r="10" spans="1:7" x14ac:dyDescent="0.25">
      <c r="A10" s="53" t="s">
        <v>401</v>
      </c>
      <c r="B10" s="67">
        <v>118296814.69407301</v>
      </c>
      <c r="C10" s="67">
        <v>5.9269815683364868E-3</v>
      </c>
      <c r="D10" s="67">
        <v>118296814.69999999</v>
      </c>
      <c r="E10" s="67">
        <v>49363999.610000044</v>
      </c>
      <c r="F10" s="67">
        <v>49363999.610000044</v>
      </c>
      <c r="G10" s="67">
        <f>D10-E10</f>
        <v>68932815.089999944</v>
      </c>
    </row>
    <row r="11" spans="1:7" x14ac:dyDescent="0.2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118296814.69407301</v>
      </c>
      <c r="C33" s="66">
        <f t="shared" ref="C33:G33" si="9">C21+C9</f>
        <v>5.9269815683364868E-3</v>
      </c>
      <c r="D33" s="66">
        <f t="shared" si="9"/>
        <v>118296814.69999999</v>
      </c>
      <c r="E33" s="66">
        <f t="shared" si="9"/>
        <v>49363999.610000044</v>
      </c>
      <c r="F33" s="66">
        <f t="shared" si="9"/>
        <v>49363999.610000044</v>
      </c>
      <c r="G33" s="66">
        <f t="shared" si="9"/>
        <v>68932815.089999944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118296814.69407301</v>
      </c>
      <c r="Q2" s="18">
        <f>'Formato 6 d)'!C9</f>
        <v>5.9269815683364868E-3</v>
      </c>
      <c r="R2" s="18">
        <f>'Formato 6 d)'!D9</f>
        <v>118296814.69999999</v>
      </c>
      <c r="S2" s="18">
        <f>'Formato 6 d)'!E9</f>
        <v>49363999.610000044</v>
      </c>
      <c r="T2" s="18">
        <f>'Formato 6 d)'!F9</f>
        <v>49363999.610000044</v>
      </c>
      <c r="U2" s="18">
        <f>'Formato 6 d)'!G9</f>
        <v>68932815.089999944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118296814.69407301</v>
      </c>
      <c r="Q3" s="18">
        <f>'Formato 6 d)'!C10</f>
        <v>5.9269815683364868E-3</v>
      </c>
      <c r="R3" s="18">
        <f>'Formato 6 d)'!D10</f>
        <v>118296814.69999999</v>
      </c>
      <c r="S3" s="18">
        <f>'Formato 6 d)'!E10</f>
        <v>49363999.610000044</v>
      </c>
      <c r="T3" s="18">
        <f>'Formato 6 d)'!F10</f>
        <v>49363999.610000044</v>
      </c>
      <c r="U3" s="18">
        <f>'Formato 6 d)'!G10</f>
        <v>68932815.089999944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118296814.69407301</v>
      </c>
      <c r="Q24" s="18">
        <f>'Formato 6 d)'!C33</f>
        <v>5.9269815683364868E-3</v>
      </c>
      <c r="R24" s="18">
        <f>'Formato 6 d)'!D33</f>
        <v>118296814.69999999</v>
      </c>
      <c r="S24" s="18">
        <f>'Formato 6 d)'!E33</f>
        <v>49363999.610000044</v>
      </c>
      <c r="T24" s="18">
        <f>'Formato 6 d)'!F33</f>
        <v>49363999.610000044</v>
      </c>
      <c r="U24" s="18">
        <f>'Formato 6 d)'!G33</f>
        <v>68932815.089999944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topLeftCell="A5" zoomScale="80" zoomScaleNormal="80" zoomScalePageLayoutView="80" workbookViewId="0">
      <selection activeCell="B11" sqref="B11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5" t="s">
        <v>413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x14ac:dyDescent="0.25">
      <c r="A3" s="160" t="s">
        <v>414</v>
      </c>
      <c r="B3" s="161"/>
      <c r="C3" s="161"/>
      <c r="D3" s="161"/>
      <c r="E3" s="161"/>
      <c r="F3" s="161"/>
      <c r="G3" s="162"/>
    </row>
    <row r="4" spans="1:7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60" t="s">
        <v>415</v>
      </c>
      <c r="B5" s="161"/>
      <c r="C5" s="161"/>
      <c r="D5" s="161"/>
      <c r="E5" s="161"/>
      <c r="F5" s="161"/>
      <c r="G5" s="162"/>
    </row>
    <row r="6" spans="1:7" x14ac:dyDescent="0.25">
      <c r="A6" s="172" t="s">
        <v>3280</v>
      </c>
      <c r="B6" s="51">
        <f>ANIO1P</f>
        <v>2021</v>
      </c>
      <c r="C6" s="185" t="str">
        <f>ANIO2P</f>
        <v>2022 (d)</v>
      </c>
      <c r="D6" s="185" t="str">
        <f>ANIO3P</f>
        <v>2023 (d)</v>
      </c>
      <c r="E6" s="185" t="str">
        <f>ANIO4P</f>
        <v>2024 (d)</v>
      </c>
      <c r="F6" s="185" t="str">
        <f>ANIO5P</f>
        <v>2025 (d)</v>
      </c>
      <c r="G6" s="185" t="str">
        <f>ANIO6P</f>
        <v>2026 (d)</v>
      </c>
    </row>
    <row r="7" spans="1:7" ht="48" customHeight="1" x14ac:dyDescent="0.25">
      <c r="A7" s="173"/>
      <c r="B7" s="88" t="s">
        <v>3283</v>
      </c>
      <c r="C7" s="186"/>
      <c r="D7" s="186"/>
      <c r="E7" s="186"/>
      <c r="F7" s="186"/>
      <c r="G7" s="186"/>
    </row>
    <row r="8" spans="1:7" x14ac:dyDescent="0.25">
      <c r="A8" s="52" t="s">
        <v>421</v>
      </c>
      <c r="B8" s="59">
        <f>SUM(B9:B20)</f>
        <v>531559204.72000003</v>
      </c>
      <c r="C8" s="59">
        <f t="shared" ref="C8:G8" si="0">SUM(C9:C20)</f>
        <v>584715125.18999994</v>
      </c>
      <c r="D8" s="59">
        <f t="shared" si="0"/>
        <v>643186637.70000005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31428495.949999999</v>
      </c>
      <c r="C13" s="60">
        <v>34571345.539999999</v>
      </c>
      <c r="D13" s="60">
        <v>38028480.090000004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22743563.920000002</v>
      </c>
      <c r="C14" s="60">
        <v>25017920.309999999</v>
      </c>
      <c r="D14" s="60">
        <v>27519712.34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477387144.85000002</v>
      </c>
      <c r="C15" s="60">
        <v>525125859.33999997</v>
      </c>
      <c r="D15" s="60">
        <v>577638445.26999998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113703189.15000001</v>
      </c>
      <c r="C22" s="61">
        <f t="shared" ref="C22:G22" si="1">SUM(C23:C27)</f>
        <v>125073508.06</v>
      </c>
      <c r="D22" s="61">
        <f t="shared" si="1"/>
        <v>137580858.87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113703189.15000001</v>
      </c>
      <c r="C23" s="60">
        <v>125073508.06</v>
      </c>
      <c r="D23" s="60">
        <v>137580858.87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645262393.87</v>
      </c>
      <c r="C32" s="61">
        <f t="shared" ref="C32:F32" si="3">C29+C22+C8</f>
        <v>709788633.25</v>
      </c>
      <c r="D32" s="61">
        <f t="shared" si="3"/>
        <v>780767496.57000005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531559204.72000003</v>
      </c>
      <c r="Q2" s="18">
        <f>'Formato 7 a)'!C8</f>
        <v>584715125.18999994</v>
      </c>
      <c r="R2" s="18">
        <f>'Formato 7 a)'!D8</f>
        <v>643186637.70000005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31428495.949999999</v>
      </c>
      <c r="Q7" s="18">
        <f>'Formato 7 a)'!C13</f>
        <v>34571345.539999999</v>
      </c>
      <c r="R7" s="18">
        <f>'Formato 7 a)'!D13</f>
        <v>38028480.090000004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22743563.920000002</v>
      </c>
      <c r="Q8" s="18">
        <f>'Formato 7 a)'!C14</f>
        <v>25017920.309999999</v>
      </c>
      <c r="R8" s="18">
        <f>'Formato 7 a)'!D14</f>
        <v>27519712.34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477387144.85000002</v>
      </c>
      <c r="Q9" s="18">
        <f>'Formato 7 a)'!C15</f>
        <v>525125859.33999997</v>
      </c>
      <c r="R9" s="18">
        <f>'Formato 7 a)'!D15</f>
        <v>577638445.26999998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113703189.15000001</v>
      </c>
      <c r="Q15" s="18">
        <f>'Formato 7 a)'!C22</f>
        <v>125073508.06</v>
      </c>
      <c r="R15" s="18">
        <f>'Formato 7 a)'!D22</f>
        <v>137580858.87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113703189.15000001</v>
      </c>
      <c r="Q16" s="18">
        <f>'Formato 7 a)'!C23</f>
        <v>125073508.06</v>
      </c>
      <c r="R16" s="18">
        <f>'Formato 7 a)'!D23</f>
        <v>137580858.87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645262393.87</v>
      </c>
      <c r="Q23" s="18">
        <f>'Formato 7 a)'!C32</f>
        <v>709788633.25</v>
      </c>
      <c r="R23" s="18">
        <f>'Formato 7 a)'!D32</f>
        <v>780767496.57000005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zoomScale="80" zoomScaleNormal="80" zoomScalePageLayoutView="80" workbookViewId="0">
      <selection activeCell="B25" sqref="B25:G25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5" t="s">
        <v>443</v>
      </c>
      <c r="B1" s="175"/>
      <c r="C1" s="175"/>
      <c r="D1" s="175"/>
      <c r="E1" s="175"/>
      <c r="F1" s="175"/>
      <c r="G1" s="175"/>
    </row>
    <row r="2" spans="1:7" customFormat="1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customFormat="1" x14ac:dyDescent="0.25">
      <c r="A3" s="160" t="s">
        <v>444</v>
      </c>
      <c r="B3" s="161"/>
      <c r="C3" s="161"/>
      <c r="D3" s="161"/>
      <c r="E3" s="161"/>
      <c r="F3" s="161"/>
      <c r="G3" s="162"/>
    </row>
    <row r="4" spans="1:7" customFormat="1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customFormat="1" x14ac:dyDescent="0.25">
      <c r="A5" s="160" t="s">
        <v>415</v>
      </c>
      <c r="B5" s="161"/>
      <c r="C5" s="161"/>
      <c r="D5" s="161"/>
      <c r="E5" s="161"/>
      <c r="F5" s="161"/>
      <c r="G5" s="162"/>
    </row>
    <row r="6" spans="1:7" customFormat="1" x14ac:dyDescent="0.25">
      <c r="A6" s="187" t="s">
        <v>3134</v>
      </c>
      <c r="B6" s="51">
        <f>ANIO1P</f>
        <v>2021</v>
      </c>
      <c r="C6" s="185" t="str">
        <f>ANIO2P</f>
        <v>2022 (d)</v>
      </c>
      <c r="D6" s="185" t="str">
        <f>ANIO3P</f>
        <v>2023 (d)</v>
      </c>
      <c r="E6" s="185" t="str">
        <f>ANIO4P</f>
        <v>2024 (d)</v>
      </c>
      <c r="F6" s="185" t="str">
        <f>ANIO5P</f>
        <v>2025 (d)</v>
      </c>
      <c r="G6" s="185" t="str">
        <f>ANIO6P</f>
        <v>2026 (d)</v>
      </c>
    </row>
    <row r="7" spans="1:7" customFormat="1" ht="48" customHeight="1" x14ac:dyDescent="0.25">
      <c r="A7" s="188"/>
      <c r="B7" s="88" t="s">
        <v>3283</v>
      </c>
      <c r="C7" s="186"/>
      <c r="D7" s="186"/>
      <c r="E7" s="186"/>
      <c r="F7" s="186"/>
      <c r="G7" s="186"/>
    </row>
    <row r="8" spans="1:7" x14ac:dyDescent="0.25">
      <c r="A8" s="52" t="s">
        <v>445</v>
      </c>
      <c r="B8" s="59">
        <f>SUM(B9:B17)</f>
        <v>782052041.08229995</v>
      </c>
      <c r="C8" s="59">
        <f t="shared" ref="C8:G8" si="0">SUM(C9:C17)</f>
        <v>814098197.052369</v>
      </c>
      <c r="D8" s="59">
        <f t="shared" si="0"/>
        <v>847534967.43842018</v>
      </c>
      <c r="E8" s="59">
        <f t="shared" si="0"/>
        <v>882425532.15977693</v>
      </c>
      <c r="F8" s="59">
        <f t="shared" si="0"/>
        <v>918836039.60768437</v>
      </c>
      <c r="G8" s="59">
        <f t="shared" si="0"/>
        <v>946401120.79591477</v>
      </c>
    </row>
    <row r="9" spans="1:7" x14ac:dyDescent="0.25">
      <c r="A9" s="53" t="s">
        <v>446</v>
      </c>
      <c r="B9" s="60">
        <v>121845719.13070001</v>
      </c>
      <c r="C9" s="60">
        <v>125501090.70462102</v>
      </c>
      <c r="D9" s="60">
        <v>129266123.42575966</v>
      </c>
      <c r="E9" s="60">
        <v>133144107.12853245</v>
      </c>
      <c r="F9" s="60">
        <v>137138430.34238842</v>
      </c>
      <c r="G9" s="60">
        <f>F9*1.03</f>
        <v>141252583.25266007</v>
      </c>
    </row>
    <row r="10" spans="1:7" x14ac:dyDescent="0.25">
      <c r="A10" s="53" t="s">
        <v>447</v>
      </c>
      <c r="B10" s="60">
        <v>86296614.135600001</v>
      </c>
      <c r="C10" s="60">
        <v>88885512.559668005</v>
      </c>
      <c r="D10" s="60">
        <v>91552077.936458051</v>
      </c>
      <c r="E10" s="60">
        <v>94298640.274551794</v>
      </c>
      <c r="F10" s="60">
        <v>97127599.482788354</v>
      </c>
      <c r="G10" s="60">
        <f t="shared" ref="G10:G15" si="1">F10*1.03</f>
        <v>100041427.46727201</v>
      </c>
    </row>
    <row r="11" spans="1:7" x14ac:dyDescent="0.25">
      <c r="A11" s="53" t="s">
        <v>448</v>
      </c>
      <c r="B11" s="60">
        <v>143911160.29299998</v>
      </c>
      <c r="C11" s="60">
        <v>148228495.10178998</v>
      </c>
      <c r="D11" s="60">
        <v>152675349.95484367</v>
      </c>
      <c r="E11" s="60">
        <v>157255610.45348898</v>
      </c>
      <c r="F11" s="60">
        <v>161973278.76709366</v>
      </c>
      <c r="G11" s="60">
        <f t="shared" si="1"/>
        <v>166832477.13010648</v>
      </c>
    </row>
    <row r="12" spans="1:7" x14ac:dyDescent="0.25">
      <c r="A12" s="53" t="s">
        <v>449</v>
      </c>
      <c r="B12" s="60">
        <v>768810.64300000004</v>
      </c>
      <c r="C12" s="60">
        <v>791874.96229000005</v>
      </c>
      <c r="D12" s="60">
        <v>815631.21115870005</v>
      </c>
      <c r="E12" s="60">
        <v>840100.14749346103</v>
      </c>
      <c r="F12" s="60">
        <v>865303.15191826492</v>
      </c>
      <c r="G12" s="60">
        <f t="shared" si="1"/>
        <v>891262.24647581286</v>
      </c>
    </row>
    <row r="13" spans="1:7" x14ac:dyDescent="0.25">
      <c r="A13" s="53" t="s">
        <v>450</v>
      </c>
      <c r="B13" s="60">
        <v>27269739.367500003</v>
      </c>
      <c r="C13" s="60">
        <v>28633226.335875005</v>
      </c>
      <c r="D13" s="60">
        <v>30064887.652668756</v>
      </c>
      <c r="E13" s="60">
        <v>31568132.035302196</v>
      </c>
      <c r="F13" s="60">
        <v>33146538.637067307</v>
      </c>
      <c r="G13" s="60">
        <f t="shared" si="1"/>
        <v>34140934.796179324</v>
      </c>
    </row>
    <row r="14" spans="1:7" x14ac:dyDescent="0.25">
      <c r="A14" s="53" t="s">
        <v>451</v>
      </c>
      <c r="B14" s="60">
        <v>346454216.6505</v>
      </c>
      <c r="C14" s="60">
        <v>363776927.48302501</v>
      </c>
      <c r="D14" s="60">
        <v>381965773.8571763</v>
      </c>
      <c r="E14" s="60">
        <v>401064062.55003512</v>
      </c>
      <c r="F14" s="60">
        <v>421117265.6775369</v>
      </c>
      <c r="G14" s="60">
        <f t="shared" si="1"/>
        <v>433750783.64786303</v>
      </c>
    </row>
    <row r="15" spans="1:7" x14ac:dyDescent="0.25">
      <c r="A15" s="53" t="s">
        <v>452</v>
      </c>
      <c r="B15" s="60">
        <v>55505780.862000003</v>
      </c>
      <c r="C15" s="60">
        <v>58281069.905100003</v>
      </c>
      <c r="D15" s="60">
        <v>61195123.400355004</v>
      </c>
      <c r="E15" s="60">
        <v>64254879.57037276</v>
      </c>
      <c r="F15" s="60">
        <v>67467623.548891395</v>
      </c>
      <c r="G15" s="60">
        <f t="shared" si="1"/>
        <v>69491652.255358145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113703189.15000001</v>
      </c>
      <c r="C19" s="61">
        <f t="shared" ref="C19:G19" si="2">SUM(C20:C28)</f>
        <v>125073508.06</v>
      </c>
      <c r="D19" s="61">
        <f t="shared" si="2"/>
        <v>137580858.87</v>
      </c>
      <c r="E19" s="61">
        <f t="shared" si="2"/>
        <v>151338944.75700003</v>
      </c>
      <c r="F19" s="61">
        <f t="shared" si="2"/>
        <v>166472839.23270005</v>
      </c>
      <c r="G19" s="61">
        <f t="shared" si="2"/>
        <v>183120123.15597007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451</v>
      </c>
      <c r="B25" s="60">
        <v>113703189.15000001</v>
      </c>
      <c r="C25" s="60">
        <v>125073508.06</v>
      </c>
      <c r="D25" s="60">
        <v>137580858.87</v>
      </c>
      <c r="E25" s="60">
        <v>151338944.75700003</v>
      </c>
      <c r="F25" s="60">
        <v>166472839.23270005</v>
      </c>
      <c r="G25" s="60">
        <v>183120123.15597007</v>
      </c>
    </row>
    <row r="26" spans="1:7" x14ac:dyDescent="0.25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895755230.23229992</v>
      </c>
      <c r="C30" s="61">
        <f t="shared" ref="C30:G30" si="3">C8+C19</f>
        <v>939171705.11236906</v>
      </c>
      <c r="D30" s="61">
        <f t="shared" si="3"/>
        <v>985115826.30842018</v>
      </c>
      <c r="E30" s="61">
        <f t="shared" si="3"/>
        <v>1033764476.9167769</v>
      </c>
      <c r="F30" s="61">
        <f t="shared" si="3"/>
        <v>1085308878.8403845</v>
      </c>
      <c r="G30" s="61">
        <f t="shared" si="3"/>
        <v>1129521243.9518847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782052041.08229995</v>
      </c>
      <c r="Q2" s="18">
        <f>'Formato 7 b)'!C8</f>
        <v>814098197.052369</v>
      </c>
      <c r="R2" s="18">
        <f>'Formato 7 b)'!D8</f>
        <v>847534967.43842018</v>
      </c>
      <c r="S2" s="18">
        <f>'Formato 7 b)'!E8</f>
        <v>882425532.15977693</v>
      </c>
      <c r="T2" s="18">
        <f>'Formato 7 b)'!F8</f>
        <v>918836039.60768437</v>
      </c>
      <c r="U2" s="18">
        <f>'Formato 7 b)'!G8</f>
        <v>946401120.79591477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121845719.13070001</v>
      </c>
      <c r="Q3" s="18">
        <f>'Formato 7 b)'!C9</f>
        <v>125501090.70462102</v>
      </c>
      <c r="R3" s="18">
        <f>'Formato 7 b)'!D9</f>
        <v>129266123.42575966</v>
      </c>
      <c r="S3" s="18">
        <f>'Formato 7 b)'!E9</f>
        <v>133144107.12853245</v>
      </c>
      <c r="T3" s="18">
        <f>'Formato 7 b)'!F9</f>
        <v>137138430.34238842</v>
      </c>
      <c r="U3" s="18">
        <f>'Formato 7 b)'!G9</f>
        <v>141252583.25266007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86296614.135600001</v>
      </c>
      <c r="Q4" s="18">
        <f>'Formato 7 b)'!C10</f>
        <v>88885512.559668005</v>
      </c>
      <c r="R4" s="18">
        <f>'Formato 7 b)'!D10</f>
        <v>91552077.936458051</v>
      </c>
      <c r="S4" s="18">
        <f>'Formato 7 b)'!E10</f>
        <v>94298640.274551794</v>
      </c>
      <c r="T4" s="18">
        <f>'Formato 7 b)'!F10</f>
        <v>97127599.482788354</v>
      </c>
      <c r="U4" s="18">
        <f>'Formato 7 b)'!G10</f>
        <v>100041427.46727201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143911160.29299998</v>
      </c>
      <c r="Q5" s="18">
        <f>'Formato 7 b)'!C11</f>
        <v>148228495.10178998</v>
      </c>
      <c r="R5" s="18">
        <f>'Formato 7 b)'!D11</f>
        <v>152675349.95484367</v>
      </c>
      <c r="S5" s="18">
        <f>'Formato 7 b)'!E11</f>
        <v>157255610.45348898</v>
      </c>
      <c r="T5" s="18">
        <f>'Formato 7 b)'!F11</f>
        <v>161973278.76709366</v>
      </c>
      <c r="U5" s="18">
        <f>'Formato 7 b)'!G11</f>
        <v>166832477.13010648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768810.64300000004</v>
      </c>
      <c r="Q6" s="18">
        <f>'Formato 7 b)'!C12</f>
        <v>791874.96229000005</v>
      </c>
      <c r="R6" s="18">
        <f>'Formato 7 b)'!D12</f>
        <v>815631.21115870005</v>
      </c>
      <c r="S6" s="18">
        <f>'Formato 7 b)'!E12</f>
        <v>840100.14749346103</v>
      </c>
      <c r="T6" s="18">
        <f>'Formato 7 b)'!F12</f>
        <v>865303.15191826492</v>
      </c>
      <c r="U6" s="18">
        <f>'Formato 7 b)'!G12</f>
        <v>891262.24647581286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27269739.367500003</v>
      </c>
      <c r="Q7" s="18">
        <f>'Formato 7 b)'!C13</f>
        <v>28633226.335875005</v>
      </c>
      <c r="R7" s="18">
        <f>'Formato 7 b)'!D13</f>
        <v>30064887.652668756</v>
      </c>
      <c r="S7" s="18">
        <f>'Formato 7 b)'!E13</f>
        <v>31568132.035302196</v>
      </c>
      <c r="T7" s="18">
        <f>'Formato 7 b)'!F13</f>
        <v>33146538.637067307</v>
      </c>
      <c r="U7" s="18">
        <f>'Formato 7 b)'!G13</f>
        <v>34140934.796179324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346454216.6505</v>
      </c>
      <c r="Q8" s="18">
        <f>'Formato 7 b)'!C14</f>
        <v>363776927.48302501</v>
      </c>
      <c r="R8" s="18">
        <f>'Formato 7 b)'!D14</f>
        <v>381965773.8571763</v>
      </c>
      <c r="S8" s="18">
        <f>'Formato 7 b)'!E14</f>
        <v>401064062.55003512</v>
      </c>
      <c r="T8" s="18">
        <f>'Formato 7 b)'!F14</f>
        <v>421117265.6775369</v>
      </c>
      <c r="U8" s="18">
        <f>'Formato 7 b)'!G14</f>
        <v>433750783.64786303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55505780.862000003</v>
      </c>
      <c r="Q9" s="18">
        <f>'Formato 7 b)'!C15</f>
        <v>58281069.905100003</v>
      </c>
      <c r="R9" s="18">
        <f>'Formato 7 b)'!D15</f>
        <v>61195123.400355004</v>
      </c>
      <c r="S9" s="18">
        <f>'Formato 7 b)'!E15</f>
        <v>64254879.57037276</v>
      </c>
      <c r="T9" s="18">
        <f>'Formato 7 b)'!F15</f>
        <v>67467623.548891395</v>
      </c>
      <c r="U9" s="18">
        <f>'Formato 7 b)'!G15</f>
        <v>69491652.255358145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113703189.15000001</v>
      </c>
      <c r="Q12" s="18">
        <f>'Formato 7 b)'!C19</f>
        <v>125073508.06</v>
      </c>
      <c r="R12" s="18">
        <f>'Formato 7 b)'!D19</f>
        <v>137580858.87</v>
      </c>
      <c r="S12" s="18">
        <f>'Formato 7 b)'!E19</f>
        <v>151338944.75700003</v>
      </c>
      <c r="T12" s="18">
        <f>'Formato 7 b)'!F19</f>
        <v>166472839.23270005</v>
      </c>
      <c r="U12" s="18">
        <f>'Formato 7 b)'!G19</f>
        <v>183120123.15597007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113703189.15000001</v>
      </c>
      <c r="Q18" s="18">
        <f>'Formato 7 b)'!C25</f>
        <v>125073508.06</v>
      </c>
      <c r="R18" s="18">
        <f>'Formato 7 b)'!D25</f>
        <v>137580858.87</v>
      </c>
      <c r="S18" s="18">
        <f>'Formato 7 b)'!E25</f>
        <v>151338944.75700003</v>
      </c>
      <c r="T18" s="18">
        <f>'Formato 7 b)'!F25</f>
        <v>166472839.23270005</v>
      </c>
      <c r="U18" s="18">
        <f>'Formato 7 b)'!G25</f>
        <v>183120123.15597007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895755230.23229992</v>
      </c>
      <c r="Q22" s="18">
        <f>'Formato 7 b)'!C30</f>
        <v>939171705.11236906</v>
      </c>
      <c r="R22" s="18">
        <f>'Formato 7 b)'!D30</f>
        <v>985115826.30842018</v>
      </c>
      <c r="S22" s="18">
        <f>'Formato 7 b)'!E30</f>
        <v>1033764476.9167769</v>
      </c>
      <c r="T22" s="18">
        <f>'Formato 7 b)'!F30</f>
        <v>1085308878.8403845</v>
      </c>
      <c r="U22" s="18">
        <f>'Formato 7 b)'!G30</f>
        <v>1129521243.9518847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topLeftCell="A6" zoomScale="80" zoomScaleNormal="80" zoomScalePageLayoutView="80" workbookViewId="0">
      <selection activeCell="G22" sqref="G22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5" t="s">
        <v>458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x14ac:dyDescent="0.25">
      <c r="A3" s="160" t="s">
        <v>459</v>
      </c>
      <c r="B3" s="161"/>
      <c r="C3" s="161"/>
      <c r="D3" s="161"/>
      <c r="E3" s="161"/>
      <c r="F3" s="161"/>
      <c r="G3" s="162"/>
    </row>
    <row r="4" spans="1:7" x14ac:dyDescent="0.25">
      <c r="A4" s="166" t="s">
        <v>118</v>
      </c>
      <c r="B4" s="167"/>
      <c r="C4" s="167"/>
      <c r="D4" s="167"/>
      <c r="E4" s="167"/>
      <c r="F4" s="167"/>
      <c r="G4" s="168"/>
    </row>
    <row r="5" spans="1:7" x14ac:dyDescent="0.25">
      <c r="A5" s="192" t="s">
        <v>3280</v>
      </c>
      <c r="B5" s="190" t="str">
        <f>ANIO5R</f>
        <v>2015 ¹ (c)</v>
      </c>
      <c r="C5" s="190" t="str">
        <f>ANIO4R</f>
        <v>2016 ¹ (c)</v>
      </c>
      <c r="D5" s="190" t="str">
        <f>ANIO3R</f>
        <v>2017 ¹ (c)</v>
      </c>
      <c r="E5" s="190" t="str">
        <f>ANIO2R</f>
        <v>2018 ¹ (c)</v>
      </c>
      <c r="F5" s="190" t="str">
        <f>ANIO1R</f>
        <v>2019 ¹ (c)</v>
      </c>
      <c r="G5" s="51">
        <f>ANIO_INFORME</f>
        <v>2020</v>
      </c>
    </row>
    <row r="6" spans="1:7" ht="32.1" customHeight="1" x14ac:dyDescent="0.25">
      <c r="A6" s="193"/>
      <c r="B6" s="191"/>
      <c r="C6" s="191"/>
      <c r="D6" s="191"/>
      <c r="E6" s="191"/>
      <c r="F6" s="191"/>
      <c r="G6" s="88" t="s">
        <v>3286</v>
      </c>
    </row>
    <row r="7" spans="1:7" x14ac:dyDescent="0.25">
      <c r="A7" s="52" t="s">
        <v>460</v>
      </c>
      <c r="B7" s="59">
        <f>SUM(B8:B19)</f>
        <v>331977887.26999998</v>
      </c>
      <c r="C7" s="59">
        <f t="shared" ref="C7:G7" si="0">SUM(C8:C19)</f>
        <v>373817893.10000002</v>
      </c>
      <c r="D7" s="59">
        <f t="shared" si="0"/>
        <v>410576238.33999997</v>
      </c>
      <c r="E7" s="59">
        <f t="shared" si="0"/>
        <v>437042126.98281258</v>
      </c>
      <c r="F7" s="59">
        <f t="shared" si="0"/>
        <v>473131306.56</v>
      </c>
      <c r="G7" s="59">
        <f t="shared" si="0"/>
        <v>483235640.58999997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0</v>
      </c>
      <c r="D10" s="60">
        <v>1907916.07</v>
      </c>
      <c r="E10" s="60">
        <v>0</v>
      </c>
      <c r="F10" s="60">
        <v>10193326.83</v>
      </c>
      <c r="G10" s="60">
        <v>0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4355.17</v>
      </c>
      <c r="C12" s="60">
        <v>117325</v>
      </c>
      <c r="D12" s="60">
        <v>1338896.3400000001</v>
      </c>
      <c r="E12" s="60">
        <v>0</v>
      </c>
      <c r="F12" s="60">
        <v>32872879.5</v>
      </c>
      <c r="G12" s="60">
        <v>28571359.949999999</v>
      </c>
    </row>
    <row r="13" spans="1:7" x14ac:dyDescent="0.25">
      <c r="A13" s="56" t="s">
        <v>466</v>
      </c>
      <c r="B13" s="60">
        <v>115679765.8</v>
      </c>
      <c r="C13" s="60">
        <v>157284045.69999999</v>
      </c>
      <c r="D13" s="60">
        <v>48411016.899999999</v>
      </c>
      <c r="E13" s="60">
        <v>24243910</v>
      </c>
      <c r="F13" s="60">
        <v>0</v>
      </c>
      <c r="G13" s="60">
        <v>20675967.199999999</v>
      </c>
    </row>
    <row r="14" spans="1:7" x14ac:dyDescent="0.25">
      <c r="A14" s="53" t="s">
        <v>467</v>
      </c>
      <c r="B14" s="60">
        <v>216293766.30000001</v>
      </c>
      <c r="C14" s="60">
        <v>216416522.40000001</v>
      </c>
      <c r="D14" s="60">
        <v>358918409.02999997</v>
      </c>
      <c r="E14" s="60">
        <v>412798216.98281258</v>
      </c>
      <c r="F14" s="60">
        <v>430065100.23000002</v>
      </c>
      <c r="G14" s="60">
        <v>433988313.44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62522751.490000002</v>
      </c>
      <c r="C21" s="61">
        <f t="shared" ref="C21:G21" si="1">SUM(C22:C26)</f>
        <v>83357438.459999993</v>
      </c>
      <c r="D21" s="61">
        <f t="shared" si="1"/>
        <v>85688641.209999993</v>
      </c>
      <c r="E21" s="61">
        <f t="shared" si="1"/>
        <v>106851039</v>
      </c>
      <c r="F21" s="61">
        <f t="shared" si="1"/>
        <v>99599862.489999995</v>
      </c>
      <c r="G21" s="61">
        <f t="shared" si="1"/>
        <v>103366535.59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103366535.59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149">
        <v>0</v>
      </c>
      <c r="C25" s="150">
        <v>0</v>
      </c>
      <c r="D25" s="150">
        <v>0</v>
      </c>
      <c r="E25" s="150">
        <v>0</v>
      </c>
      <c r="F25" s="150">
        <v>99599862.489999995</v>
      </c>
      <c r="G25" s="60">
        <v>0</v>
      </c>
    </row>
    <row r="26" spans="1:7" x14ac:dyDescent="0.25">
      <c r="A26" s="53" t="s">
        <v>476</v>
      </c>
      <c r="B26" s="149">
        <v>62522751.490000002</v>
      </c>
      <c r="C26" s="150">
        <v>83357438.459999993</v>
      </c>
      <c r="D26" s="150">
        <v>85688641.209999993</v>
      </c>
      <c r="E26" s="150">
        <v>106851039</v>
      </c>
      <c r="F26" s="15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394500638.75999999</v>
      </c>
      <c r="C31" s="61">
        <f t="shared" ref="C31:G31" si="3">C7+C21+C28</f>
        <v>457175331.56</v>
      </c>
      <c r="D31" s="61">
        <f t="shared" si="3"/>
        <v>496264879.54999995</v>
      </c>
      <c r="E31" s="61">
        <f t="shared" si="3"/>
        <v>543893165.98281264</v>
      </c>
      <c r="F31" s="61">
        <f t="shared" si="3"/>
        <v>572731169.04999995</v>
      </c>
      <c r="G31" s="61">
        <f t="shared" si="3"/>
        <v>586602176.17999995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9" t="s">
        <v>3284</v>
      </c>
      <c r="B39" s="189"/>
      <c r="C39" s="189"/>
      <c r="D39" s="189"/>
      <c r="E39" s="189"/>
      <c r="F39" s="189"/>
      <c r="G39" s="189"/>
    </row>
    <row r="40" spans="1:7" ht="15" customHeight="1" x14ac:dyDescent="0.25">
      <c r="A40" s="189" t="s">
        <v>3285</v>
      </c>
      <c r="B40" s="189"/>
      <c r="C40" s="189"/>
      <c r="D40" s="189"/>
      <c r="E40" s="189"/>
      <c r="F40" s="189"/>
      <c r="G40" s="189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331977887.26999998</v>
      </c>
      <c r="Q2" s="18">
        <f>'Formato 7 c)'!C7</f>
        <v>373817893.10000002</v>
      </c>
      <c r="R2" s="18">
        <f>'Formato 7 c)'!D7</f>
        <v>410576238.33999997</v>
      </c>
      <c r="S2" s="18">
        <f>'Formato 7 c)'!E7</f>
        <v>437042126.98281258</v>
      </c>
      <c r="T2" s="18">
        <f>'Formato 7 c)'!F7</f>
        <v>473131306.56</v>
      </c>
      <c r="U2" s="18">
        <f>'Formato 7 c)'!G7</f>
        <v>483235640.58999997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0</v>
      </c>
      <c r="R5" s="18">
        <f>'Formato 7 c)'!D10</f>
        <v>1907916.07</v>
      </c>
      <c r="S5" s="18">
        <f>'Formato 7 c)'!E10</f>
        <v>0</v>
      </c>
      <c r="T5" s="18">
        <f>'Formato 7 c)'!F10</f>
        <v>10193326.83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4355.17</v>
      </c>
      <c r="Q7" s="18">
        <f>'Formato 7 c)'!C12</f>
        <v>117325</v>
      </c>
      <c r="R7" s="18">
        <f>'Formato 7 c)'!D12</f>
        <v>1338896.3400000001</v>
      </c>
      <c r="S7" s="18">
        <f>'Formato 7 c)'!E12</f>
        <v>0</v>
      </c>
      <c r="T7" s="18">
        <f>'Formato 7 c)'!F12</f>
        <v>32872879.5</v>
      </c>
      <c r="U7" s="18">
        <f>'Formato 7 c)'!G12</f>
        <v>28571359.949999999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115679765.8</v>
      </c>
      <c r="Q8" s="18">
        <f>'Formato 7 c)'!C13</f>
        <v>157284045.69999999</v>
      </c>
      <c r="R8" s="18">
        <f>'Formato 7 c)'!D13</f>
        <v>48411016.899999999</v>
      </c>
      <c r="S8" s="18">
        <f>'Formato 7 c)'!E13</f>
        <v>24243910</v>
      </c>
      <c r="T8" s="18">
        <f>'Formato 7 c)'!F13</f>
        <v>0</v>
      </c>
      <c r="U8" s="18">
        <f>'Formato 7 c)'!G13</f>
        <v>20675967.199999999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216293766.30000001</v>
      </c>
      <c r="Q9" s="18">
        <f>'Formato 7 c)'!C14</f>
        <v>216416522.40000001</v>
      </c>
      <c r="R9" s="18">
        <f>'Formato 7 c)'!D14</f>
        <v>358918409.02999997</v>
      </c>
      <c r="S9" s="18">
        <f>'Formato 7 c)'!E14</f>
        <v>412798216.98281258</v>
      </c>
      <c r="T9" s="18">
        <f>'Formato 7 c)'!F14</f>
        <v>430065100.23000002</v>
      </c>
      <c r="U9" s="18">
        <f>'Formato 7 c)'!G14</f>
        <v>433988313.44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62522751.490000002</v>
      </c>
      <c r="Q15" s="18">
        <f>'Formato 7 c)'!C21</f>
        <v>83357438.459999993</v>
      </c>
      <c r="R15" s="18">
        <f>'Formato 7 c)'!D21</f>
        <v>85688641.209999993</v>
      </c>
      <c r="S15" s="18">
        <f>'Formato 7 c)'!E21</f>
        <v>106851039</v>
      </c>
      <c r="T15" s="18">
        <f>'Formato 7 c)'!F21</f>
        <v>99599862.489999995</v>
      </c>
      <c r="U15" s="18">
        <f>'Formato 7 c)'!G21</f>
        <v>103366535.59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103366535.59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99599862.489999995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62522751.490000002</v>
      </c>
      <c r="Q20" s="18">
        <f>'Formato 7 c)'!C26</f>
        <v>83357438.459999993</v>
      </c>
      <c r="R20" s="18">
        <f>'Formato 7 c)'!D26</f>
        <v>85688641.209999993</v>
      </c>
      <c r="S20" s="18">
        <f>'Formato 7 c)'!E26</f>
        <v>106851039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394500638.75999999</v>
      </c>
      <c r="Q23" s="18">
        <f>'Formato 7 c)'!C31</f>
        <v>457175331.56</v>
      </c>
      <c r="R23" s="18">
        <f>'Formato 7 c)'!D31</f>
        <v>496264879.54999995</v>
      </c>
      <c r="S23" s="18">
        <f>'Formato 7 c)'!E31</f>
        <v>543893165.98281264</v>
      </c>
      <c r="T23" s="18">
        <f>'Formato 7 c)'!F31</f>
        <v>572731169.04999995</v>
      </c>
      <c r="U23" s="18">
        <f>'Formato 7 c)'!G31</f>
        <v>586602176.17999995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zoomScale="80" zoomScaleNormal="80" zoomScalePageLayoutView="80" workbookViewId="0">
      <selection activeCell="D27" sqref="D27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5" t="s">
        <v>482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x14ac:dyDescent="0.25">
      <c r="A3" s="160" t="s">
        <v>483</v>
      </c>
      <c r="B3" s="161"/>
      <c r="C3" s="161"/>
      <c r="D3" s="161"/>
      <c r="E3" s="161"/>
      <c r="F3" s="161"/>
      <c r="G3" s="162"/>
    </row>
    <row r="4" spans="1:7" x14ac:dyDescent="0.25">
      <c r="A4" s="166" t="s">
        <v>118</v>
      </c>
      <c r="B4" s="167"/>
      <c r="C4" s="167"/>
      <c r="D4" s="167"/>
      <c r="E4" s="167"/>
      <c r="F4" s="167"/>
      <c r="G4" s="168"/>
    </row>
    <row r="5" spans="1:7" x14ac:dyDescent="0.25">
      <c r="A5" s="194" t="s">
        <v>3134</v>
      </c>
      <c r="B5" s="190" t="str">
        <f>ANIO5R</f>
        <v>2015 ¹ (c)</v>
      </c>
      <c r="C5" s="190" t="str">
        <f>ANIO4R</f>
        <v>2016 ¹ (c)</v>
      </c>
      <c r="D5" s="190" t="str">
        <f>ANIO3R</f>
        <v>2017 ¹ (c)</v>
      </c>
      <c r="E5" s="190" t="str">
        <f>ANIO2R</f>
        <v>2018 ¹ (c)</v>
      </c>
      <c r="F5" s="190" t="str">
        <f>ANIO1R</f>
        <v>2019 ¹ (c)</v>
      </c>
      <c r="G5" s="51">
        <f>ANIO_INFORME</f>
        <v>2020</v>
      </c>
    </row>
    <row r="6" spans="1:7" ht="32.1" customHeight="1" x14ac:dyDescent="0.25">
      <c r="A6" s="195"/>
      <c r="B6" s="191"/>
      <c r="C6" s="191"/>
      <c r="D6" s="191"/>
      <c r="E6" s="191"/>
      <c r="F6" s="191"/>
      <c r="G6" s="88" t="s">
        <v>3287</v>
      </c>
    </row>
    <row r="7" spans="1:7" x14ac:dyDescent="0.25">
      <c r="A7" s="52" t="s">
        <v>484</v>
      </c>
      <c r="B7" s="59">
        <f>SUM(B8:B16)</f>
        <v>240160814.0686</v>
      </c>
      <c r="C7" s="59">
        <f t="shared" ref="C7:G7" si="0">SUM(C8:C16)</f>
        <v>249991140.69999999</v>
      </c>
      <c r="D7" s="59">
        <f t="shared" si="0"/>
        <v>281480929.83240008</v>
      </c>
      <c r="E7" s="59">
        <f t="shared" si="0"/>
        <v>326159206.70920002</v>
      </c>
      <c r="F7" s="59">
        <f t="shared" si="0"/>
        <v>461254022.50790018</v>
      </c>
      <c r="G7" s="59">
        <f t="shared" si="0"/>
        <v>483235640.65450013</v>
      </c>
    </row>
    <row r="8" spans="1:7" x14ac:dyDescent="0.25">
      <c r="A8" s="53" t="s">
        <v>446</v>
      </c>
      <c r="B8" s="60">
        <v>104681954.33</v>
      </c>
      <c r="C8" s="60">
        <v>105325635.65000001</v>
      </c>
      <c r="D8" s="60">
        <v>105209381.61000007</v>
      </c>
      <c r="E8" s="60">
        <v>109213604.25999998</v>
      </c>
      <c r="F8" s="60">
        <v>111808624.74500006</v>
      </c>
      <c r="G8" s="60">
        <v>118296814.69450003</v>
      </c>
    </row>
    <row r="9" spans="1:7" x14ac:dyDescent="0.25">
      <c r="A9" s="53" t="s">
        <v>447</v>
      </c>
      <c r="B9" s="60">
        <v>21930754.024999999</v>
      </c>
      <c r="C9" s="60">
        <v>27487458.210000001</v>
      </c>
      <c r="D9" s="60">
        <v>40457820.490000002</v>
      </c>
      <c r="E9" s="60">
        <v>52230376.329200022</v>
      </c>
      <c r="F9" s="60">
        <v>43535262.192900032</v>
      </c>
      <c r="G9" s="60">
        <v>56751654.439999998</v>
      </c>
    </row>
    <row r="10" spans="1:7" x14ac:dyDescent="0.25">
      <c r="A10" s="53" t="s">
        <v>448</v>
      </c>
      <c r="B10" s="60">
        <v>95433730.393600002</v>
      </c>
      <c r="C10" s="60">
        <v>101644850.63</v>
      </c>
      <c r="D10" s="60">
        <v>119622372.21240003</v>
      </c>
      <c r="E10" s="60">
        <v>138567278.08000004</v>
      </c>
      <c r="F10" s="60">
        <v>140658440.15000001</v>
      </c>
      <c r="G10" s="60">
        <v>139719573.10000002</v>
      </c>
    </row>
    <row r="11" spans="1:7" x14ac:dyDescent="0.25">
      <c r="A11" s="53" t="s">
        <v>449</v>
      </c>
      <c r="B11" s="60">
        <v>683412.22</v>
      </c>
      <c r="C11" s="60">
        <v>548456.6</v>
      </c>
      <c r="D11" s="60">
        <v>789898.60999999987</v>
      </c>
      <c r="E11" s="60">
        <v>1082210.2</v>
      </c>
      <c r="F11" s="60">
        <v>736288.90999999992</v>
      </c>
      <c r="G11" s="60">
        <v>746418.1</v>
      </c>
    </row>
    <row r="12" spans="1:7" x14ac:dyDescent="0.25">
      <c r="A12" s="53" t="s">
        <v>450</v>
      </c>
      <c r="B12" s="60">
        <v>14786128.650000006</v>
      </c>
      <c r="C12" s="60">
        <v>14984739.609999999</v>
      </c>
      <c r="D12" s="60">
        <v>15384935.019999998</v>
      </c>
      <c r="E12" s="60">
        <v>23203027.810000002</v>
      </c>
      <c r="F12" s="60">
        <v>10990609.67</v>
      </c>
      <c r="G12" s="60">
        <v>19371180.350000001</v>
      </c>
    </row>
    <row r="13" spans="1:7" x14ac:dyDescent="0.25">
      <c r="A13" s="53" t="s">
        <v>451</v>
      </c>
      <c r="B13" s="60">
        <v>0</v>
      </c>
      <c r="C13" s="60">
        <v>0</v>
      </c>
      <c r="D13" s="60"/>
      <c r="E13" s="60"/>
      <c r="F13" s="60">
        <v>79998201.539999992</v>
      </c>
      <c r="G13" s="60">
        <v>148349999.97</v>
      </c>
    </row>
    <row r="14" spans="1:7" x14ac:dyDescent="0.25">
      <c r="A14" s="53" t="s">
        <v>452</v>
      </c>
      <c r="B14" s="60"/>
      <c r="C14" s="60">
        <v>0</v>
      </c>
      <c r="D14" s="60"/>
      <c r="E14" s="60"/>
      <c r="F14" s="60">
        <v>43556000</v>
      </c>
      <c r="G14" s="60">
        <v>0</v>
      </c>
    </row>
    <row r="15" spans="1:7" x14ac:dyDescent="0.25">
      <c r="A15" s="53" t="s">
        <v>453</v>
      </c>
      <c r="B15" s="60">
        <v>0</v>
      </c>
      <c r="C15" s="60">
        <v>0</v>
      </c>
      <c r="D15" s="60">
        <v>16521.89</v>
      </c>
      <c r="E15" s="60">
        <v>1862710.03</v>
      </c>
      <c r="F15" s="60">
        <v>29970595.300000001</v>
      </c>
      <c r="G15" s="60">
        <v>0</v>
      </c>
    </row>
    <row r="16" spans="1:7" x14ac:dyDescent="0.25">
      <c r="A16" s="53" t="s">
        <v>454</v>
      </c>
      <c r="B16" s="60">
        <v>2644834.4500000002</v>
      </c>
      <c r="C16" s="60">
        <v>0</v>
      </c>
      <c r="D16" s="60"/>
      <c r="E16" s="60"/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>SUM(B19:B27)</f>
        <v>31794293.52</v>
      </c>
      <c r="C18" s="61">
        <f t="shared" ref="C18:G18" si="1">SUM(C19:C27)</f>
        <v>44623231.243999995</v>
      </c>
      <c r="D18" s="61">
        <f t="shared" si="1"/>
        <v>73582559.870000005</v>
      </c>
      <c r="E18" s="61">
        <f t="shared" si="1"/>
        <v>75155721.780000001</v>
      </c>
      <c r="F18" s="61">
        <f t="shared" si="1"/>
        <v>115518199.29000001</v>
      </c>
      <c r="G18" s="61">
        <f t="shared" si="1"/>
        <v>103366535.59</v>
      </c>
    </row>
    <row r="19" spans="1:7" x14ac:dyDescent="0.25">
      <c r="A19" s="53" t="s">
        <v>446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451</v>
      </c>
      <c r="B24" s="60">
        <v>31794293.52</v>
      </c>
      <c r="C24" s="60">
        <v>44623231.243999995</v>
      </c>
      <c r="D24" s="60">
        <v>73582559.870000005</v>
      </c>
      <c r="E24" s="60">
        <v>75155721.780000001</v>
      </c>
      <c r="F24" s="60">
        <v>115518199.29000001</v>
      </c>
      <c r="G24" s="60">
        <v>103366535.59</v>
      </c>
    </row>
    <row r="25" spans="1:7" x14ac:dyDescent="0.25">
      <c r="A25" s="53" t="s">
        <v>452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271955107.58859998</v>
      </c>
      <c r="C29" s="60">
        <f t="shared" ref="C29:G29" si="2">C7+C18</f>
        <v>294614371.94400001</v>
      </c>
      <c r="D29" s="60">
        <f t="shared" si="2"/>
        <v>355063489.70240009</v>
      </c>
      <c r="E29" s="60">
        <f t="shared" si="2"/>
        <v>401314928.4892</v>
      </c>
      <c r="F29" s="60">
        <f t="shared" si="2"/>
        <v>576772221.7979002</v>
      </c>
      <c r="G29" s="60">
        <f t="shared" si="2"/>
        <v>586602176.24450016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9" t="s">
        <v>3284</v>
      </c>
      <c r="B32" s="189"/>
      <c r="C32" s="189"/>
      <c r="D32" s="189"/>
      <c r="E32" s="189"/>
      <c r="F32" s="189"/>
      <c r="G32" s="189"/>
    </row>
    <row r="33" spans="1:7" x14ac:dyDescent="0.25">
      <c r="A33" s="189" t="s">
        <v>3285</v>
      </c>
      <c r="B33" s="189"/>
      <c r="C33" s="189"/>
      <c r="D33" s="189"/>
      <c r="E33" s="189"/>
      <c r="F33" s="189"/>
      <c r="G33" s="189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240160814.0686</v>
      </c>
      <c r="Q2" s="18">
        <f>'Formato 7 d)'!C7</f>
        <v>249991140.69999999</v>
      </c>
      <c r="R2" s="18">
        <f>'Formato 7 d)'!D7</f>
        <v>281480929.83240008</v>
      </c>
      <c r="S2" s="18">
        <f>'Formato 7 d)'!E7</f>
        <v>326159206.70920002</v>
      </c>
      <c r="T2" s="18">
        <f>'Formato 7 d)'!F7</f>
        <v>461254022.50790018</v>
      </c>
      <c r="U2" s="18">
        <f>'Formato 7 d)'!G7</f>
        <v>483235640.65450013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104681954.33</v>
      </c>
      <c r="Q3" s="18">
        <f>'Formato 7 d)'!C8</f>
        <v>105325635.65000001</v>
      </c>
      <c r="R3" s="18">
        <f>'Formato 7 d)'!D8</f>
        <v>105209381.61000007</v>
      </c>
      <c r="S3" s="18">
        <f>'Formato 7 d)'!E8</f>
        <v>109213604.25999998</v>
      </c>
      <c r="T3" s="18">
        <f>'Formato 7 d)'!F8</f>
        <v>111808624.74500006</v>
      </c>
      <c r="U3" s="18">
        <f>'Formato 7 d)'!G8</f>
        <v>118296814.69450003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21930754.024999999</v>
      </c>
      <c r="Q4" s="18">
        <f>'Formato 7 d)'!C9</f>
        <v>27487458.210000001</v>
      </c>
      <c r="R4" s="18">
        <f>'Formato 7 d)'!D9</f>
        <v>40457820.490000002</v>
      </c>
      <c r="S4" s="18">
        <f>'Formato 7 d)'!E9</f>
        <v>52230376.329200022</v>
      </c>
      <c r="T4" s="18">
        <f>'Formato 7 d)'!F9</f>
        <v>43535262.192900032</v>
      </c>
      <c r="U4" s="18">
        <f>'Formato 7 d)'!G9</f>
        <v>56751654.439999998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95433730.393600002</v>
      </c>
      <c r="Q5" s="18">
        <f>'Formato 7 d)'!C10</f>
        <v>101644850.63</v>
      </c>
      <c r="R5" s="18">
        <f>'Formato 7 d)'!D10</f>
        <v>119622372.21240003</v>
      </c>
      <c r="S5" s="18">
        <f>'Formato 7 d)'!E10</f>
        <v>138567278.08000004</v>
      </c>
      <c r="T5" s="18">
        <f>'Formato 7 d)'!F10</f>
        <v>140658440.15000001</v>
      </c>
      <c r="U5" s="18">
        <f>'Formato 7 d)'!G10</f>
        <v>139719573.10000002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683412.22</v>
      </c>
      <c r="Q6" s="18">
        <f>'Formato 7 d)'!C11</f>
        <v>548456.6</v>
      </c>
      <c r="R6" s="18">
        <f>'Formato 7 d)'!D11</f>
        <v>789898.60999999987</v>
      </c>
      <c r="S6" s="18">
        <f>'Formato 7 d)'!E11</f>
        <v>1082210.2</v>
      </c>
      <c r="T6" s="18">
        <f>'Formato 7 d)'!F11</f>
        <v>736288.90999999992</v>
      </c>
      <c r="U6" s="18">
        <f>'Formato 7 d)'!G11</f>
        <v>746418.1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14786128.650000006</v>
      </c>
      <c r="Q7" s="18">
        <f>'Formato 7 d)'!C12</f>
        <v>14984739.609999999</v>
      </c>
      <c r="R7" s="18">
        <f>'Formato 7 d)'!D12</f>
        <v>15384935.019999998</v>
      </c>
      <c r="S7" s="18">
        <f>'Formato 7 d)'!E12</f>
        <v>23203027.810000002</v>
      </c>
      <c r="T7" s="18">
        <f>'Formato 7 d)'!F12</f>
        <v>10990609.67</v>
      </c>
      <c r="U7" s="18">
        <f>'Formato 7 d)'!G12</f>
        <v>19371180.350000001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79998201.539999992</v>
      </c>
      <c r="U8" s="18">
        <f>'Formato 7 d)'!G13</f>
        <v>148349999.97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43556000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</v>
      </c>
      <c r="Q10" s="18">
        <f>'Formato 7 d)'!C15</f>
        <v>0</v>
      </c>
      <c r="R10" s="18">
        <f>'Formato 7 d)'!D15</f>
        <v>16521.89</v>
      </c>
      <c r="S10" s="18">
        <f>'Formato 7 d)'!E15</f>
        <v>1862710.03</v>
      </c>
      <c r="T10" s="18">
        <f>'Formato 7 d)'!F15</f>
        <v>29970595.300000001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2644834.4500000002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31794293.52</v>
      </c>
      <c r="Q12" s="18">
        <f>'Formato 7 d)'!C18</f>
        <v>44623231.243999995</v>
      </c>
      <c r="R12" s="18">
        <f>'Formato 7 d)'!D18</f>
        <v>73582559.870000005</v>
      </c>
      <c r="S12" s="18">
        <f>'Formato 7 d)'!E18</f>
        <v>75155721.780000001</v>
      </c>
      <c r="T12" s="18">
        <f>'Formato 7 d)'!F18</f>
        <v>115518199.29000001</v>
      </c>
      <c r="U12" s="18">
        <f>'Formato 7 d)'!G18</f>
        <v>103366535.59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31794293.52</v>
      </c>
      <c r="Q18" s="18">
        <f>'Formato 7 d)'!C24</f>
        <v>44623231.243999995</v>
      </c>
      <c r="R18" s="18">
        <f>'Formato 7 d)'!D24</f>
        <v>73582559.870000005</v>
      </c>
      <c r="S18" s="18">
        <f>'Formato 7 d)'!E24</f>
        <v>75155721.780000001</v>
      </c>
      <c r="T18" s="18">
        <f>'Formato 7 d)'!F24</f>
        <v>115518199.29000001</v>
      </c>
      <c r="U18" s="18">
        <f>'Formato 7 d)'!G24</f>
        <v>103366535.59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271955107.58859998</v>
      </c>
      <c r="Q22" s="18">
        <f>'Formato 7 d)'!C29</f>
        <v>294614371.94400001</v>
      </c>
      <c r="R22" s="18">
        <f>'Formato 7 d)'!D29</f>
        <v>355063489.70240009</v>
      </c>
      <c r="S22" s="18">
        <f>'Formato 7 d)'!E29</f>
        <v>401314928.4892</v>
      </c>
      <c r="T22" s="18">
        <f>'Formato 7 d)'!F29</f>
        <v>576772221.7979002</v>
      </c>
      <c r="U22" s="18">
        <f>'Formato 7 d)'!G29</f>
        <v>586602176.24450016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topLeftCell="A14" zoomScale="80" zoomScaleNormal="80" zoomScalePageLayoutView="80" workbookViewId="0">
      <selection activeCell="B11" sqref="B11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9" t="s">
        <v>487</v>
      </c>
      <c r="B1" s="169"/>
      <c r="C1" s="169"/>
      <c r="D1" s="169"/>
      <c r="E1" s="169"/>
      <c r="F1" s="169"/>
      <c r="G1" s="111"/>
    </row>
    <row r="2" spans="1:7" x14ac:dyDescent="0.25">
      <c r="A2" s="157" t="str">
        <f>ENTE_PUBLICO</f>
        <v>JUNTA DE AGUA POTABLE DRENAJE ALCANTARILLADO Y SANEAMIENTO DEL MUNICIPIO DE IRAPUATO GTO, Gobierno del Estado de Guanajuato</v>
      </c>
      <c r="B2" s="158"/>
      <c r="C2" s="158"/>
      <c r="D2" s="158"/>
      <c r="E2" s="158"/>
      <c r="F2" s="159"/>
    </row>
    <row r="3" spans="1:7" x14ac:dyDescent="0.25">
      <c r="A3" s="166" t="s">
        <v>488</v>
      </c>
      <c r="B3" s="167"/>
      <c r="C3" s="167"/>
      <c r="D3" s="167"/>
      <c r="E3" s="167"/>
      <c r="F3" s="168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6" t="s">
        <v>494</v>
      </c>
      <c r="B5" s="5"/>
      <c r="C5" s="5"/>
      <c r="D5" s="5"/>
      <c r="E5" s="5"/>
      <c r="F5" s="5"/>
    </row>
    <row r="6" spans="1:7" ht="30" x14ac:dyDescent="0.25">
      <c r="A6" s="137" t="s">
        <v>495</v>
      </c>
      <c r="B6" s="60"/>
      <c r="C6" s="60"/>
      <c r="D6" s="60"/>
      <c r="E6" s="60"/>
      <c r="F6" s="60"/>
    </row>
    <row r="7" spans="1:7" x14ac:dyDescent="0.25">
      <c r="A7" s="137" t="s">
        <v>496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497</v>
      </c>
      <c r="B9" s="54"/>
      <c r="C9" s="54"/>
      <c r="D9" s="54"/>
      <c r="E9" s="54"/>
      <c r="F9" s="54"/>
    </row>
    <row r="10" spans="1:7" x14ac:dyDescent="0.25">
      <c r="A10" s="137" t="s">
        <v>498</v>
      </c>
      <c r="B10" s="60"/>
      <c r="C10" s="60"/>
      <c r="D10" s="60"/>
      <c r="E10" s="60"/>
      <c r="F10" s="60"/>
    </row>
    <row r="11" spans="1:7" x14ac:dyDescent="0.25">
      <c r="A11" s="139" t="s">
        <v>499</v>
      </c>
      <c r="B11" s="60"/>
      <c r="C11" s="60"/>
      <c r="D11" s="60"/>
      <c r="E11" s="60"/>
      <c r="F11" s="60"/>
    </row>
    <row r="12" spans="1:7" x14ac:dyDescent="0.25">
      <c r="A12" s="139" t="s">
        <v>500</v>
      </c>
      <c r="B12" s="60"/>
      <c r="C12" s="60"/>
      <c r="D12" s="60"/>
      <c r="E12" s="60"/>
      <c r="F12" s="60"/>
    </row>
    <row r="13" spans="1:7" x14ac:dyDescent="0.25">
      <c r="A13" s="139" t="s">
        <v>501</v>
      </c>
      <c r="B13" s="60"/>
      <c r="C13" s="60"/>
      <c r="D13" s="60"/>
      <c r="E13" s="60"/>
      <c r="F13" s="60"/>
    </row>
    <row r="14" spans="1:7" x14ac:dyDescent="0.25">
      <c r="A14" s="137" t="s">
        <v>502</v>
      </c>
      <c r="B14" s="60"/>
      <c r="C14" s="60"/>
      <c r="D14" s="60"/>
      <c r="E14" s="60"/>
      <c r="F14" s="60"/>
    </row>
    <row r="15" spans="1:7" x14ac:dyDescent="0.25">
      <c r="A15" s="139" t="s">
        <v>499</v>
      </c>
      <c r="B15" s="60"/>
      <c r="C15" s="60"/>
      <c r="D15" s="60"/>
      <c r="E15" s="60"/>
      <c r="F15" s="60"/>
    </row>
    <row r="16" spans="1:7" x14ac:dyDescent="0.25">
      <c r="A16" s="139" t="s">
        <v>500</v>
      </c>
      <c r="B16" s="60"/>
      <c r="C16" s="60"/>
      <c r="D16" s="60"/>
      <c r="E16" s="60"/>
      <c r="F16" s="60"/>
    </row>
    <row r="17" spans="1:6" x14ac:dyDescent="0.25">
      <c r="A17" s="139" t="s">
        <v>501</v>
      </c>
      <c r="B17" s="60"/>
      <c r="C17" s="60"/>
      <c r="D17" s="60"/>
      <c r="E17" s="60"/>
      <c r="F17" s="60"/>
    </row>
    <row r="18" spans="1:6" x14ac:dyDescent="0.25">
      <c r="A18" s="137" t="s">
        <v>503</v>
      </c>
      <c r="B18" s="145"/>
      <c r="C18" s="60"/>
      <c r="D18" s="60"/>
      <c r="E18" s="60"/>
      <c r="F18" s="60"/>
    </row>
    <row r="19" spans="1:6" x14ac:dyDescent="0.25">
      <c r="A19" s="137" t="s">
        <v>504</v>
      </c>
      <c r="B19" s="60"/>
      <c r="C19" s="60"/>
      <c r="D19" s="60"/>
      <c r="E19" s="60"/>
      <c r="F19" s="60"/>
    </row>
    <row r="20" spans="1:6" x14ac:dyDescent="0.25">
      <c r="A20" s="137" t="s">
        <v>505</v>
      </c>
      <c r="B20" s="146"/>
      <c r="C20" s="146"/>
      <c r="D20" s="146"/>
      <c r="E20" s="146"/>
      <c r="F20" s="146"/>
    </row>
    <row r="21" spans="1:6" x14ac:dyDescent="0.25">
      <c r="A21" s="137" t="s">
        <v>506</v>
      </c>
      <c r="B21" s="146"/>
      <c r="C21" s="146"/>
      <c r="D21" s="146"/>
      <c r="E21" s="146"/>
      <c r="F21" s="146"/>
    </row>
    <row r="22" spans="1:6" x14ac:dyDescent="0.25">
      <c r="A22" s="64" t="s">
        <v>507</v>
      </c>
      <c r="B22" s="146"/>
      <c r="C22" s="146"/>
      <c r="D22" s="146"/>
      <c r="E22" s="146"/>
      <c r="F22" s="146"/>
    </row>
    <row r="23" spans="1:6" x14ac:dyDescent="0.25">
      <c r="A23" s="64" t="s">
        <v>508</v>
      </c>
      <c r="B23" s="146"/>
      <c r="C23" s="146"/>
      <c r="D23" s="146"/>
      <c r="E23" s="146"/>
      <c r="F23" s="146"/>
    </row>
    <row r="24" spans="1:6" x14ac:dyDescent="0.25">
      <c r="A24" s="64" t="s">
        <v>509</v>
      </c>
      <c r="B24" s="147"/>
      <c r="C24" s="60"/>
      <c r="D24" s="60"/>
      <c r="E24" s="60"/>
      <c r="F24" s="60"/>
    </row>
    <row r="25" spans="1:6" x14ac:dyDescent="0.25">
      <c r="A25" s="137" t="s">
        <v>510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511</v>
      </c>
      <c r="B27" s="54"/>
      <c r="C27" s="54"/>
      <c r="D27" s="54"/>
      <c r="E27" s="54"/>
      <c r="F27" s="54"/>
    </row>
    <row r="28" spans="1:6" x14ac:dyDescent="0.25">
      <c r="A28" s="137" t="s">
        <v>512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513</v>
      </c>
      <c r="B30" s="54"/>
      <c r="C30" s="54"/>
      <c r="D30" s="54"/>
      <c r="E30" s="54"/>
      <c r="F30" s="54"/>
    </row>
    <row r="31" spans="1:6" x14ac:dyDescent="0.25">
      <c r="A31" s="137" t="s">
        <v>498</v>
      </c>
      <c r="B31" s="60"/>
      <c r="C31" s="60"/>
      <c r="D31" s="60"/>
      <c r="E31" s="60"/>
      <c r="F31" s="60"/>
    </row>
    <row r="32" spans="1:6" x14ac:dyDescent="0.25">
      <c r="A32" s="137" t="s">
        <v>502</v>
      </c>
      <c r="B32" s="60"/>
      <c r="C32" s="60"/>
      <c r="D32" s="60"/>
      <c r="E32" s="60"/>
      <c r="F32" s="60"/>
    </row>
    <row r="33" spans="1:6" x14ac:dyDescent="0.25">
      <c r="A33" s="137" t="s">
        <v>514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515</v>
      </c>
      <c r="B35" s="54"/>
      <c r="C35" s="54"/>
      <c r="D35" s="54"/>
      <c r="E35" s="54"/>
      <c r="F35" s="54"/>
    </row>
    <row r="36" spans="1:6" x14ac:dyDescent="0.25">
      <c r="A36" s="137" t="s">
        <v>516</v>
      </c>
      <c r="B36" s="60"/>
      <c r="C36" s="60"/>
      <c r="D36" s="60"/>
      <c r="E36" s="60"/>
      <c r="F36" s="60"/>
    </row>
    <row r="37" spans="1:6" x14ac:dyDescent="0.25">
      <c r="A37" s="137" t="s">
        <v>517</v>
      </c>
      <c r="B37" s="60"/>
      <c r="C37" s="60"/>
      <c r="D37" s="60"/>
      <c r="E37" s="60"/>
      <c r="F37" s="60"/>
    </row>
    <row r="38" spans="1:6" x14ac:dyDescent="0.25">
      <c r="A38" s="137" t="s">
        <v>518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519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520</v>
      </c>
      <c r="B42" s="54"/>
      <c r="C42" s="54"/>
      <c r="D42" s="54"/>
      <c r="E42" s="54"/>
      <c r="F42" s="54"/>
    </row>
    <row r="43" spans="1:6" x14ac:dyDescent="0.25">
      <c r="A43" s="137" t="s">
        <v>521</v>
      </c>
      <c r="B43" s="60"/>
      <c r="C43" s="60"/>
      <c r="D43" s="60"/>
      <c r="E43" s="60"/>
      <c r="F43" s="60"/>
    </row>
    <row r="44" spans="1:6" x14ac:dyDescent="0.25">
      <c r="A44" s="137" t="s">
        <v>522</v>
      </c>
      <c r="B44" s="60"/>
      <c r="C44" s="60"/>
      <c r="D44" s="60"/>
      <c r="E44" s="60"/>
      <c r="F44" s="60"/>
    </row>
    <row r="45" spans="1:6" x14ac:dyDescent="0.25">
      <c r="A45" s="137" t="s">
        <v>523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6"/>
      <c r="C48" s="146"/>
      <c r="D48" s="146"/>
      <c r="E48" s="146"/>
      <c r="F48" s="146"/>
    </row>
    <row r="49" spans="1:6" x14ac:dyDescent="0.25">
      <c r="A49" s="64" t="s">
        <v>523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525</v>
      </c>
      <c r="B51" s="54"/>
      <c r="C51" s="54"/>
      <c r="D51" s="54"/>
      <c r="E51" s="54"/>
      <c r="F51" s="54"/>
    </row>
    <row r="52" spans="1:6" x14ac:dyDescent="0.25">
      <c r="A52" s="137" t="s">
        <v>522</v>
      </c>
      <c r="B52" s="60"/>
      <c r="C52" s="60"/>
      <c r="D52" s="60"/>
      <c r="E52" s="60"/>
      <c r="F52" s="60"/>
    </row>
    <row r="53" spans="1:6" x14ac:dyDescent="0.25">
      <c r="A53" s="137" t="s">
        <v>523</v>
      </c>
      <c r="B53" s="60"/>
      <c r="C53" s="60"/>
      <c r="D53" s="60"/>
      <c r="E53" s="60"/>
      <c r="F53" s="60"/>
    </row>
    <row r="54" spans="1:6" x14ac:dyDescent="0.25">
      <c r="A54" s="137" t="s">
        <v>526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527</v>
      </c>
      <c r="B56" s="54"/>
      <c r="C56" s="54"/>
      <c r="D56" s="54"/>
      <c r="E56" s="54"/>
      <c r="F56" s="54"/>
    </row>
    <row r="57" spans="1:6" x14ac:dyDescent="0.25">
      <c r="A57" s="137" t="s">
        <v>522</v>
      </c>
      <c r="B57" s="60"/>
      <c r="C57" s="60"/>
      <c r="D57" s="60"/>
      <c r="E57" s="60"/>
      <c r="F57" s="60"/>
    </row>
    <row r="58" spans="1:6" x14ac:dyDescent="0.25">
      <c r="A58" s="137" t="s">
        <v>523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528</v>
      </c>
      <c r="B60" s="54"/>
      <c r="C60" s="54"/>
      <c r="D60" s="54"/>
      <c r="E60" s="54"/>
      <c r="F60" s="54"/>
    </row>
    <row r="61" spans="1:6" x14ac:dyDescent="0.25">
      <c r="A61" s="137" t="s">
        <v>529</v>
      </c>
      <c r="B61" s="60"/>
      <c r="C61" s="60"/>
      <c r="D61" s="60"/>
      <c r="E61" s="60"/>
      <c r="F61" s="60"/>
    </row>
    <row r="62" spans="1:6" x14ac:dyDescent="0.25">
      <c r="A62" s="137" t="s">
        <v>530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531</v>
      </c>
      <c r="B64" s="54"/>
      <c r="C64" s="54"/>
      <c r="D64" s="54"/>
      <c r="E64" s="54"/>
      <c r="F64" s="54"/>
    </row>
    <row r="65" spans="1:6" x14ac:dyDescent="0.25">
      <c r="A65" s="137" t="s">
        <v>532</v>
      </c>
      <c r="B65" s="60"/>
      <c r="C65" s="60"/>
      <c r="D65" s="60"/>
      <c r="E65" s="60"/>
      <c r="F65" s="60"/>
    </row>
    <row r="66" spans="1:6" x14ac:dyDescent="0.25">
      <c r="A66" s="137" t="s">
        <v>533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topLeftCell="A30" zoomScale="80" zoomScaleNormal="80" zoomScalePageLayoutView="80" workbookViewId="0">
      <selection activeCell="C37" sqref="C3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9" t="s">
        <v>537</v>
      </c>
      <c r="B1" s="169"/>
      <c r="C1" s="169"/>
      <c r="D1" s="169"/>
      <c r="E1" s="169"/>
      <c r="F1" s="169"/>
    </row>
    <row r="2" spans="1:6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9"/>
    </row>
    <row r="3" spans="1:6" x14ac:dyDescent="0.25">
      <c r="A3" s="160" t="s">
        <v>117</v>
      </c>
      <c r="B3" s="161"/>
      <c r="C3" s="161"/>
      <c r="D3" s="161"/>
      <c r="E3" s="161"/>
      <c r="F3" s="162"/>
    </row>
    <row r="4" spans="1:6" x14ac:dyDescent="0.25">
      <c r="A4" s="163" t="str">
        <f>PERIODO_INFORME</f>
        <v>Al 31 de diciembre de 2019 y al 30 de junio de 2020 (b)</v>
      </c>
      <c r="B4" s="164"/>
      <c r="C4" s="164"/>
      <c r="D4" s="164"/>
      <c r="E4" s="164"/>
      <c r="F4" s="165"/>
    </row>
    <row r="5" spans="1:6" x14ac:dyDescent="0.25">
      <c r="A5" s="166" t="s">
        <v>118</v>
      </c>
      <c r="B5" s="167"/>
      <c r="C5" s="167"/>
      <c r="D5" s="167"/>
      <c r="E5" s="167"/>
      <c r="F5" s="168"/>
    </row>
    <row r="6" spans="1:6" s="3" customFormat="1" ht="30" x14ac:dyDescent="0.25">
      <c r="A6" s="133" t="s">
        <v>3276</v>
      </c>
      <c r="B6" s="134" t="str">
        <f>ANIO</f>
        <v>2020 (d)</v>
      </c>
      <c r="C6" s="131" t="str">
        <f>ULTIMO</f>
        <v>31 de diciembre de 2019 (e)</v>
      </c>
      <c r="D6" s="135" t="s">
        <v>0</v>
      </c>
      <c r="E6" s="134" t="str">
        <f>ANIO</f>
        <v>2020 (d)</v>
      </c>
      <c r="F6" s="131" t="str">
        <f>ULTIMO</f>
        <v>31 de diciembre de 2019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434518822.29999995</v>
      </c>
      <c r="C9" s="60">
        <f>SUM(C10:C16)</f>
        <v>449827713.04000002</v>
      </c>
      <c r="D9" s="100" t="s">
        <v>54</v>
      </c>
      <c r="E9" s="60">
        <f>SUM(E10:E18)</f>
        <v>4040027.7600000002</v>
      </c>
      <c r="F9" s="60">
        <f>SUM(F10:F18)</f>
        <v>11370592.09</v>
      </c>
    </row>
    <row r="10" spans="1:6" x14ac:dyDescent="0.25">
      <c r="A10" s="96" t="s">
        <v>4</v>
      </c>
      <c r="B10" s="200">
        <v>438000</v>
      </c>
      <c r="C10" s="196">
        <v>602000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200">
        <v>10411138.57</v>
      </c>
      <c r="C11" s="196">
        <v>33554358.350000001</v>
      </c>
      <c r="D11" s="101" t="s">
        <v>56</v>
      </c>
      <c r="E11" s="200">
        <v>1426221.72</v>
      </c>
      <c r="F11" s="196">
        <v>4418042.09</v>
      </c>
    </row>
    <row r="12" spans="1:6" x14ac:dyDescent="0.25">
      <c r="A12" s="96" t="s">
        <v>6</v>
      </c>
      <c r="B12" s="200">
        <v>0</v>
      </c>
      <c r="C12" s="77">
        <v>0</v>
      </c>
      <c r="D12" s="101" t="s">
        <v>57</v>
      </c>
      <c r="E12" s="200">
        <v>508417.26</v>
      </c>
      <c r="F12" s="196">
        <v>3423210.43</v>
      </c>
    </row>
    <row r="13" spans="1:6" x14ac:dyDescent="0.25">
      <c r="A13" s="96" t="s">
        <v>7</v>
      </c>
      <c r="B13" s="200">
        <v>423496828.08999997</v>
      </c>
      <c r="C13" s="196">
        <v>415671354.69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200">
        <v>172855.64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200">
        <v>896525.93</v>
      </c>
      <c r="F16" s="196">
        <v>2292556.06</v>
      </c>
    </row>
    <row r="17" spans="1:6" x14ac:dyDescent="0.25">
      <c r="A17" s="95" t="s">
        <v>11</v>
      </c>
      <c r="B17" s="60">
        <f>SUM(B18:B24)</f>
        <v>30100090.830000002</v>
      </c>
      <c r="C17" s="60">
        <f>SUM(C18:C24)</f>
        <v>24360603.130000003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200">
        <v>1208862.8500000001</v>
      </c>
      <c r="F18" s="196">
        <v>1236783.51</v>
      </c>
    </row>
    <row r="19" spans="1:6" x14ac:dyDescent="0.25">
      <c r="A19" s="97" t="s">
        <v>13</v>
      </c>
      <c r="B19" s="200">
        <v>213.4</v>
      </c>
      <c r="C19" s="196">
        <v>13562245.470000001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200">
        <v>1089058.8799999999</v>
      </c>
      <c r="C20" s="196">
        <v>1422165.2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200">
        <v>29010818.550000001</v>
      </c>
      <c r="C24" s="196">
        <v>9376192.4600000009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12702479.539999999</v>
      </c>
      <c r="C25" s="60">
        <f>SUM(C26:C30)</f>
        <v>14755396.08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196">
        <v>5568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19097692.309999999</v>
      </c>
      <c r="F27" s="60">
        <f>SUM(F28:F30)</f>
        <v>1633816.51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200">
        <v>19097692.309999999</v>
      </c>
      <c r="F28" s="196">
        <v>1633816.51</v>
      </c>
    </row>
    <row r="29" spans="1:6" x14ac:dyDescent="0.25">
      <c r="A29" s="97" t="s">
        <v>23</v>
      </c>
      <c r="B29" s="200">
        <v>12702479.539999999</v>
      </c>
      <c r="C29" s="196">
        <v>14749828.08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200">
        <v>20861431.550000001</v>
      </c>
      <c r="C37" s="196">
        <v>15485863.800000001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97">
        <f>B9+B17+B25+B31+B38+B41+B37</f>
        <v>498182824.21999997</v>
      </c>
      <c r="C47" s="197">
        <f>C9+C17+C25+C31+C38+C41+C37</f>
        <v>504429576.05000001</v>
      </c>
      <c r="D47" s="99" t="s">
        <v>91</v>
      </c>
      <c r="E47" s="61">
        <f>E9+E19+E23+E26+E27+E31+E38+E42</f>
        <v>23137720.07</v>
      </c>
      <c r="F47" s="61">
        <f>F9+F19+F23+F26+F27+F31+F38+F42</f>
        <v>13004408.6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200">
        <v>82083946.510000005</v>
      </c>
      <c r="C51" s="198">
        <v>43556000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200">
        <v>1900934661.74</v>
      </c>
      <c r="C52" s="198">
        <v>1856745075.78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200">
        <v>196958123.00999999</v>
      </c>
      <c r="C53" s="198">
        <v>178031161.12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200">
        <v>2634713.11</v>
      </c>
      <c r="C54" s="198">
        <v>2631963.11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200">
        <v>-717343296.96000004</v>
      </c>
      <c r="C55" s="198">
        <v>-636018604.37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200">
        <v>2077675.85</v>
      </c>
      <c r="C56" s="198">
        <v>1659363.35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23137720.07</v>
      </c>
      <c r="F59" s="61">
        <f>F47+F57</f>
        <v>13004408.6</v>
      </c>
    </row>
    <row r="60" spans="1:6" x14ac:dyDescent="0.25">
      <c r="A60" s="55" t="s">
        <v>50</v>
      </c>
      <c r="B60" s="61">
        <f>SUM(B50:B58)</f>
        <v>1467345823.2600002</v>
      </c>
      <c r="C60" s="61">
        <f>SUM(C50:C58)</f>
        <v>1446604958.9899998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1965528647.4800003</v>
      </c>
      <c r="C62" s="61">
        <f>SUM(C47+C60)</f>
        <v>1951034535.0399997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405884197.55000001</v>
      </c>
      <c r="F63" s="77">
        <f>SUM(F64:F66)</f>
        <v>404124721.91000003</v>
      </c>
    </row>
    <row r="64" spans="1:6" x14ac:dyDescent="0.25">
      <c r="A64" s="54"/>
      <c r="B64" s="54"/>
      <c r="C64" s="54"/>
      <c r="D64" s="103" t="s">
        <v>103</v>
      </c>
      <c r="E64" s="198">
        <v>4610300.5999999996</v>
      </c>
      <c r="F64" s="198">
        <v>4610300.5999999996</v>
      </c>
    </row>
    <row r="65" spans="1:6" x14ac:dyDescent="0.25">
      <c r="A65" s="54"/>
      <c r="B65" s="54"/>
      <c r="C65" s="54"/>
      <c r="D65" s="41" t="s">
        <v>104</v>
      </c>
      <c r="E65" s="198">
        <v>18256522.289999999</v>
      </c>
      <c r="F65" s="198">
        <v>16497046.65</v>
      </c>
    </row>
    <row r="66" spans="1:6" x14ac:dyDescent="0.25">
      <c r="A66" s="54"/>
      <c r="B66" s="54"/>
      <c r="C66" s="54"/>
      <c r="D66" s="103" t="s">
        <v>105</v>
      </c>
      <c r="E66" s="198">
        <v>383017374.66000003</v>
      </c>
      <c r="F66" s="198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1536506729.8599999</v>
      </c>
      <c r="F68" s="77">
        <f>SUM(F69:F73)</f>
        <v>1533905404.53</v>
      </c>
    </row>
    <row r="69" spans="1:6" x14ac:dyDescent="0.25">
      <c r="A69" s="12"/>
      <c r="B69" s="54"/>
      <c r="C69" s="54"/>
      <c r="D69" s="103" t="s">
        <v>107</v>
      </c>
      <c r="E69" s="198">
        <v>48629259.189999998</v>
      </c>
      <c r="F69" s="198">
        <v>139060929.19</v>
      </c>
    </row>
    <row r="70" spans="1:6" x14ac:dyDescent="0.25">
      <c r="A70" s="12"/>
      <c r="B70" s="54"/>
      <c r="C70" s="54"/>
      <c r="D70" s="103" t="s">
        <v>108</v>
      </c>
      <c r="E70" s="198">
        <v>1480562324.8</v>
      </c>
      <c r="F70" s="198">
        <v>1387529329.47</v>
      </c>
    </row>
    <row r="71" spans="1:6" x14ac:dyDescent="0.25">
      <c r="A71" s="12"/>
      <c r="B71" s="54"/>
      <c r="C71" s="54"/>
      <c r="D71" s="103" t="s">
        <v>109</v>
      </c>
      <c r="E71" s="198">
        <v>5064933.6100000003</v>
      </c>
      <c r="F71" s="198">
        <v>5064933.6100000003</v>
      </c>
    </row>
    <row r="72" spans="1:6" x14ac:dyDescent="0.25">
      <c r="A72" s="12"/>
      <c r="B72" s="54"/>
      <c r="C72" s="54"/>
      <c r="D72" s="103" t="s">
        <v>110</v>
      </c>
      <c r="E72" s="198">
        <v>0</v>
      </c>
      <c r="F72" s="198">
        <v>0</v>
      </c>
    </row>
    <row r="73" spans="1:6" x14ac:dyDescent="0.25">
      <c r="A73" s="12"/>
      <c r="B73" s="54"/>
      <c r="C73" s="54"/>
      <c r="D73" s="103" t="s">
        <v>111</v>
      </c>
      <c r="E73" s="198">
        <v>2250212.2599999998</v>
      </c>
      <c r="F73" s="198">
        <v>2250212.2599999998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1942390927.4099998</v>
      </c>
      <c r="F79" s="61">
        <f>F63+F68+F75</f>
        <v>1938030126.4400001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1965528647.4799998</v>
      </c>
      <c r="F81" s="61">
        <f>F59+F79</f>
        <v>1951034535.04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434518822.29999995</v>
      </c>
      <c r="Q4" s="18">
        <f>'Formato 1'!C9</f>
        <v>449827713.04000002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438000</v>
      </c>
      <c r="Q5" s="18">
        <f>'Formato 1'!C10</f>
        <v>602000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10411138.57</v>
      </c>
      <c r="Q6" s="18">
        <f>'Formato 1'!C11</f>
        <v>33554358.350000001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423496828.08999997</v>
      </c>
      <c r="Q8" s="18">
        <f>'Formato 1'!C13</f>
        <v>415671354.69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172855.64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30100090.830000002</v>
      </c>
      <c r="Q12" s="18">
        <f>'Formato 1'!C17</f>
        <v>24360603.130000003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213.4</v>
      </c>
      <c r="Q14" s="18">
        <f>'Formato 1'!C19</f>
        <v>13562245.470000001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1089058.8799999999</v>
      </c>
      <c r="Q15" s="18">
        <f>'Formato 1'!C20</f>
        <v>1422165.2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29010818.550000001</v>
      </c>
      <c r="Q19" s="18">
        <f>'Formato 1'!C24</f>
        <v>9376192.4600000009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12702479.539999999</v>
      </c>
      <c r="Q20" s="18">
        <f>'Formato 1'!C25</f>
        <v>14755396.08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0</v>
      </c>
      <c r="Q21" s="18">
        <f>'Formato 1'!C26</f>
        <v>5568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12702479.539999999</v>
      </c>
      <c r="Q24" s="18">
        <f>'Formato 1'!C29</f>
        <v>14749828.08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20861431.550000001</v>
      </c>
      <c r="Q32" s="18">
        <f>'Formato 1'!C37</f>
        <v>15485863.800000001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20861431.550000001</v>
      </c>
      <c r="Q33" s="18">
        <f>'Formato 1'!C37</f>
        <v>15485863.800000001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498182824.21999997</v>
      </c>
      <c r="Q42" s="18">
        <f>'Formato 1'!C47</f>
        <v>504429576.05000001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82083946.510000005</v>
      </c>
      <c r="Q45">
        <f>'Formato 1'!C51</f>
        <v>43556000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1900934661.74</v>
      </c>
      <c r="Q46">
        <f>'Formato 1'!C52</f>
        <v>1856745075.78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196958123.00999999</v>
      </c>
      <c r="Q47">
        <f>'Formato 1'!C53</f>
        <v>178031161.12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2634713.11</v>
      </c>
      <c r="Q48">
        <f>'Formato 1'!C54</f>
        <v>2631963.11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-717343296.96000004</v>
      </c>
      <c r="Q49">
        <f>'Formato 1'!C55</f>
        <v>-636018604.37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2077675.85</v>
      </c>
      <c r="Q50">
        <f>'Formato 1'!C56</f>
        <v>1659363.35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1467345823.2600002</v>
      </c>
      <c r="Q53">
        <f>'Formato 1'!C60</f>
        <v>1446604958.9899998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1965528647.4800003</v>
      </c>
      <c r="Q54">
        <f>'Formato 1'!C62</f>
        <v>1951034535.0399997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4040027.7600000002</v>
      </c>
      <c r="Q57">
        <f>'Formato 1'!F9</f>
        <v>11370592.09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1426221.72</v>
      </c>
      <c r="Q59">
        <f>'Formato 1'!F11</f>
        <v>4418042.09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508417.26</v>
      </c>
      <c r="Q60">
        <f>'Formato 1'!F12</f>
        <v>3423210.43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896525.93</v>
      </c>
      <c r="Q64">
        <f>'Formato 1'!F16</f>
        <v>2292556.06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1208862.8500000001</v>
      </c>
      <c r="Q66">
        <f>'Formato 1'!F18</f>
        <v>1236783.51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19097692.309999999</v>
      </c>
      <c r="Q76">
        <f>'Formato 1'!F27</f>
        <v>1633816.51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19097692.309999999</v>
      </c>
      <c r="Q77">
        <f>'Formato 1'!F28</f>
        <v>1633816.51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23137720.07</v>
      </c>
      <c r="Q95">
        <f>'Formato 1'!F47</f>
        <v>13004408.6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23137720.07</v>
      </c>
      <c r="Q104">
        <f>'Formato 1'!F59</f>
        <v>13004408.6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405884197.55000001</v>
      </c>
      <c r="Q106">
        <f>'Formato 1'!F63</f>
        <v>404124721.91000003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18256522.289999999</v>
      </c>
      <c r="Q108">
        <f>'Formato 1'!F65</f>
        <v>16497046.65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1536506729.8599999</v>
      </c>
      <c r="Q110">
        <f>'Formato 1'!F68</f>
        <v>1533905404.53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48629259.189999998</v>
      </c>
      <c r="Q111">
        <f>'Formato 1'!F69</f>
        <v>139060929.19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1480562324.8</v>
      </c>
      <c r="Q112">
        <f>'Formato 1'!F70</f>
        <v>1387529329.47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1942390927.4099998</v>
      </c>
      <c r="Q119">
        <f>'Formato 1'!F79</f>
        <v>1938030126.4400001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1965528647.4799998</v>
      </c>
      <c r="Q120">
        <f>'Formato 1'!F81</f>
        <v>1951034535.04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zoomScale="80" zoomScaleNormal="80" zoomScalePageLayoutView="80" workbookViewId="0">
      <selection activeCell="B8" sqref="B8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71" t="s">
        <v>536</v>
      </c>
      <c r="B1" s="171"/>
      <c r="C1" s="171"/>
      <c r="D1" s="171"/>
      <c r="E1" s="171"/>
      <c r="F1" s="171"/>
      <c r="G1" s="171"/>
      <c r="H1" s="171"/>
    </row>
    <row r="2" spans="1:9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8"/>
      <c r="H2" s="159"/>
    </row>
    <row r="3" spans="1:9" x14ac:dyDescent="0.25">
      <c r="A3" s="160" t="s">
        <v>120</v>
      </c>
      <c r="B3" s="161"/>
      <c r="C3" s="161"/>
      <c r="D3" s="161"/>
      <c r="E3" s="161"/>
      <c r="F3" s="161"/>
      <c r="G3" s="161"/>
      <c r="H3" s="162"/>
    </row>
    <row r="4" spans="1:9" x14ac:dyDescent="0.25">
      <c r="A4" s="163" t="str">
        <f>PERIODO_INFORME</f>
        <v>Al 31 de diciembre de 2019 y al 30 de junio de 2020 (b)</v>
      </c>
      <c r="B4" s="164"/>
      <c r="C4" s="164"/>
      <c r="D4" s="164"/>
      <c r="E4" s="164"/>
      <c r="F4" s="164"/>
      <c r="G4" s="164"/>
      <c r="H4" s="165"/>
    </row>
    <row r="5" spans="1:9" x14ac:dyDescent="0.25">
      <c r="A5" s="166" t="s">
        <v>118</v>
      </c>
      <c r="B5" s="167"/>
      <c r="C5" s="167"/>
      <c r="D5" s="167"/>
      <c r="E5" s="167"/>
      <c r="F5" s="167"/>
      <c r="G5" s="167"/>
      <c r="H5" s="168"/>
    </row>
    <row r="6" spans="1:9" ht="45" x14ac:dyDescent="0.25">
      <c r="A6" s="104" t="s">
        <v>121</v>
      </c>
      <c r="B6" s="105" t="str">
        <f>ULTIMO_SALDO</f>
        <v>Saldo al 31 de diciembre de 2019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13004408.6</v>
      </c>
      <c r="C18" s="132"/>
      <c r="D18" s="132"/>
      <c r="E18" s="132"/>
      <c r="F18" s="199">
        <v>23137720.07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13004408.6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23137720.07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70" t="s">
        <v>3292</v>
      </c>
      <c r="B33" s="170"/>
      <c r="C33" s="170"/>
      <c r="D33" s="170"/>
      <c r="E33" s="170"/>
      <c r="F33" s="170"/>
      <c r="G33" s="170"/>
      <c r="H33" s="170"/>
    </row>
    <row r="34" spans="1:8" ht="12" customHeight="1" x14ac:dyDescent="0.25">
      <c r="A34" s="170"/>
      <c r="B34" s="170"/>
      <c r="C34" s="170"/>
      <c r="D34" s="170"/>
      <c r="E34" s="170"/>
      <c r="F34" s="170"/>
      <c r="G34" s="170"/>
      <c r="H34" s="170"/>
    </row>
    <row r="35" spans="1:8" ht="12" customHeight="1" x14ac:dyDescent="0.25">
      <c r="A35" s="170"/>
      <c r="B35" s="170"/>
      <c r="C35" s="170"/>
      <c r="D35" s="170"/>
      <c r="E35" s="170"/>
      <c r="F35" s="170"/>
      <c r="G35" s="170"/>
      <c r="H35" s="170"/>
    </row>
    <row r="36" spans="1:8" ht="12" customHeight="1" x14ac:dyDescent="0.25">
      <c r="A36" s="170"/>
      <c r="B36" s="170"/>
      <c r="C36" s="170"/>
      <c r="D36" s="170"/>
      <c r="E36" s="170"/>
      <c r="F36" s="170"/>
      <c r="G36" s="170"/>
      <c r="H36" s="170"/>
    </row>
    <row r="37" spans="1:8" ht="12" customHeight="1" x14ac:dyDescent="0.25">
      <c r="A37" s="170"/>
      <c r="B37" s="170"/>
      <c r="C37" s="170"/>
      <c r="D37" s="170"/>
      <c r="E37" s="170"/>
      <c r="F37" s="170"/>
      <c r="G37" s="170"/>
      <c r="H37" s="170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13004408.6</v>
      </c>
      <c r="Q12" s="18"/>
      <c r="R12" s="18"/>
      <c r="S12" s="18"/>
      <c r="T12" s="18">
        <f>'Formato 2'!F18</f>
        <v>23137720.07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13004408.6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23137720.07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topLeftCell="B1" zoomScale="80" zoomScaleNormal="80" zoomScalePageLayoutView="80" workbookViewId="0">
      <selection activeCell="E12" sqref="E12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9" t="s">
        <v>535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11"/>
    </row>
    <row r="2" spans="1:12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2" x14ac:dyDescent="0.25">
      <c r="A3" s="160" t="s">
        <v>146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2" x14ac:dyDescent="0.25">
      <c r="A4" s="163" t="str">
        <f>TRIMESTRE</f>
        <v>Del 1 de enero al 30 de junio de 2020 (b)</v>
      </c>
      <c r="B4" s="164"/>
      <c r="C4" s="164"/>
      <c r="D4" s="164"/>
      <c r="E4" s="164"/>
      <c r="F4" s="164"/>
      <c r="G4" s="164"/>
      <c r="H4" s="164"/>
      <c r="I4" s="164"/>
      <c r="J4" s="164"/>
      <c r="K4" s="165"/>
    </row>
    <row r="5" spans="1:12" x14ac:dyDescent="0.25">
      <c r="A5" s="160" t="s">
        <v>118</v>
      </c>
      <c r="B5" s="161"/>
      <c r="C5" s="161"/>
      <c r="D5" s="161"/>
      <c r="E5" s="161"/>
      <c r="F5" s="161"/>
      <c r="G5" s="161"/>
      <c r="H5" s="161"/>
      <c r="I5" s="161"/>
      <c r="J5" s="161"/>
      <c r="K5" s="162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2020 (k)</v>
      </c>
      <c r="J6" s="131" t="str">
        <f>MONTO2</f>
        <v>Monto pagado de la inversión actualizado al 30 de junio de 2020 (l)</v>
      </c>
      <c r="K6" s="131" t="str">
        <f>SALDO_PENDIENTE</f>
        <v>Saldo pendiente por pagar de la inversión al 30 de junio de 2020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2020-07-15T20:08:59Z</dcterms:modified>
</cp:coreProperties>
</file>